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ilanitk\AppData\Local\Microsoft\Windows\INetCache\Content.Outlook\UGI7CACJ\"/>
    </mc:Choice>
  </mc:AlternateContent>
  <bookViews>
    <workbookView xWindow="0" yWindow="0" windowWidth="19200" windowHeight="6530" activeTab="3"/>
  </bookViews>
  <sheets>
    <sheet name="2018" sheetId="1" r:id="rId1"/>
    <sheet name="2019" sheetId="2" r:id="rId2"/>
    <sheet name="2020" sheetId="3" r:id="rId3"/>
    <sheet name="202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  <c r="L9" i="4"/>
  <c r="L19" i="4" l="1"/>
  <c r="L18" i="4"/>
  <c r="L17" i="4"/>
  <c r="L16" i="4"/>
  <c r="L14" i="4"/>
  <c r="L12" i="4"/>
  <c r="L11" i="4"/>
  <c r="E10" i="4"/>
  <c r="L10" i="4" s="1"/>
  <c r="L8" i="4"/>
  <c r="L7" i="4"/>
  <c r="L6" i="4"/>
  <c r="L5" i="4"/>
  <c r="L4" i="4"/>
  <c r="L3" i="4"/>
  <c r="L2" i="4"/>
  <c r="L25" i="3"/>
  <c r="L25" i="2"/>
  <c r="L21" i="3" l="1"/>
  <c r="L19" i="3"/>
  <c r="E12" i="3"/>
  <c r="L12" i="3" s="1"/>
  <c r="L8" i="3"/>
  <c r="L28" i="3"/>
  <c r="L27" i="3"/>
  <c r="L26" i="3"/>
  <c r="L24" i="3"/>
  <c r="L23" i="3"/>
  <c r="L20" i="3"/>
  <c r="L18" i="3"/>
  <c r="L17" i="3"/>
  <c r="L15" i="3"/>
  <c r="L13" i="3"/>
  <c r="L11" i="3"/>
  <c r="E10" i="3"/>
  <c r="L10" i="3" s="1"/>
  <c r="L9" i="3"/>
  <c r="L7" i="3"/>
  <c r="L6" i="3"/>
  <c r="L5" i="3"/>
  <c r="L4" i="3"/>
  <c r="L3" i="3"/>
  <c r="L2" i="3"/>
  <c r="L21" i="2"/>
  <c r="L19" i="2"/>
  <c r="E12" i="2"/>
  <c r="L8" i="2"/>
  <c r="L4" i="2"/>
  <c r="L5" i="1"/>
  <c r="L28" i="2" l="1"/>
  <c r="L27" i="2"/>
  <c r="L26" i="2"/>
  <c r="L24" i="2"/>
  <c r="L23" i="2"/>
  <c r="L20" i="2"/>
  <c r="L18" i="2"/>
  <c r="L17" i="2"/>
  <c r="L15" i="2"/>
  <c r="L13" i="2"/>
  <c r="L12" i="2"/>
  <c r="L11" i="2"/>
  <c r="E10" i="2"/>
  <c r="L10" i="2" s="1"/>
  <c r="L9" i="2"/>
  <c r="L7" i="2"/>
  <c r="L6" i="2"/>
  <c r="L5" i="2"/>
  <c r="L3" i="2"/>
  <c r="L2" i="2"/>
  <c r="L28" i="1"/>
  <c r="L22" i="1"/>
  <c r="L29" i="1" l="1"/>
  <c r="L19" i="1"/>
  <c r="L18" i="1"/>
  <c r="L14" i="1" l="1"/>
  <c r="L12" i="1"/>
  <c r="L10" i="1"/>
  <c r="L9" i="1"/>
  <c r="L8" i="1"/>
  <c r="L7" i="1"/>
  <c r="L6" i="1"/>
  <c r="L4" i="1"/>
  <c r="L3" i="1"/>
  <c r="L2" i="1"/>
  <c r="E13" i="1" l="1"/>
  <c r="L13" i="1" s="1"/>
  <c r="L16" i="1" l="1"/>
  <c r="L21" i="1" l="1"/>
  <c r="L24" i="1"/>
  <c r="L25" i="1"/>
  <c r="L27" i="1"/>
  <c r="E11" i="1"/>
  <c r="L11" i="1" s="1"/>
</calcChain>
</file>

<file path=xl/sharedStrings.xml><?xml version="1.0" encoding="utf-8"?>
<sst xmlns="http://schemas.openxmlformats.org/spreadsheetml/2006/main" count="494" uniqueCount="115">
  <si>
    <t>עיר</t>
  </si>
  <si>
    <t>שם החניון</t>
  </si>
  <si>
    <t>כתובת החניון</t>
  </si>
  <si>
    <t>שם היחידה</t>
  </si>
  <si>
    <t>מס' חניות שכורות (כמות מנויים)</t>
  </si>
  <si>
    <t>הגורמים הזכאים לחניה</t>
  </si>
  <si>
    <t>כמות שוברי חניה שעתיים</t>
  </si>
  <si>
    <t>ירושלים</t>
  </si>
  <si>
    <t>רמלה</t>
  </si>
  <si>
    <t>חיפה</t>
  </si>
  <si>
    <t>נוף הגליל</t>
  </si>
  <si>
    <t>ב"ש</t>
  </si>
  <si>
    <t>שבטי ישראל 7</t>
  </si>
  <si>
    <t>א.מ. חניות (ירושלים) (1993) בע"מ</t>
  </si>
  <si>
    <t>עובדי היחידה</t>
  </si>
  <si>
    <t>כמות שוברי חניה יומיים</t>
  </si>
  <si>
    <t>הערות</t>
  </si>
  <si>
    <t>תקופת השימוש בחניון בחודשים</t>
  </si>
  <si>
    <t>מדובר על סכום לתקופה 1.1.18-1.3.18 בלבד, הספק של החניון השתנה. ראו ספק חניון עדן בהמשך.</t>
  </si>
  <si>
    <t>מחלקת האכיפה באגף הממונה על השכר</t>
  </si>
  <si>
    <t>בית הדפוס 12</t>
  </si>
  <si>
    <t>ג.ט.י. הגן הטכנולוגי ירושלים בע"מ</t>
  </si>
  <si>
    <t>רשות החברות</t>
  </si>
  <si>
    <t>דרך אגודת הספורט הפועל 1</t>
  </si>
  <si>
    <t>עלות לחניה לפני מע"מ והצמדות</t>
  </si>
  <si>
    <t>עובדי היחידה+
אורחים</t>
  </si>
  <si>
    <t>המרכזית ירושלים</t>
  </si>
  <si>
    <t>יפו 224</t>
  </si>
  <si>
    <t>מרכבה + חשבות הרשות לזכויות ניצולי שואה</t>
  </si>
  <si>
    <t>חניון ימית</t>
  </si>
  <si>
    <t>האפוטרופוס לנכסי נפקדים</t>
  </si>
  <si>
    <t>הלל 33</t>
  </si>
  <si>
    <t>חניון ימית - מרכז כלל</t>
  </si>
  <si>
    <t>מוזיאון המיסים</t>
  </si>
  <si>
    <t>יפו 97</t>
  </si>
  <si>
    <t>מגדל הנביאים</t>
  </si>
  <si>
    <t>כנפי נשרים 22</t>
  </si>
  <si>
    <t>מנהל מ. האוצר</t>
  </si>
  <si>
    <t>סנטר 1 שערי ירושלים בע"מ</t>
  </si>
  <si>
    <t>חשבות הרשות לזכויות ניצולי שואה</t>
  </si>
  <si>
    <t>ירמיהו 43</t>
  </si>
  <si>
    <t>עדן חברה לפתוח כלכלי ירושלים</t>
  </si>
  <si>
    <t>מנהלת הגמלאות+
פיקוח על הבניה מחוז ירושלים</t>
  </si>
  <si>
    <t>בית השנהב</t>
  </si>
  <si>
    <t>עלות שובר יומי לפני מע"מ</t>
  </si>
  <si>
    <t>עלות שובר שעתי לפני מע"מ</t>
  </si>
  <si>
    <t>עלות חניות כוללת לתקופה לפני מע"מ</t>
  </si>
  <si>
    <t>ביקורת חשכ"ל + מנהל הרכש</t>
  </si>
  <si>
    <t>שד' יצחק רבין 10</t>
  </si>
  <si>
    <t>שפיר נדסה - בניין האנרגיה</t>
  </si>
  <si>
    <t>לפי החישוב: 23 ימים ממוצע בחודש כפול 11 מנויים כפול 12 חודשים = 3,036 ימים בשנה</t>
  </si>
  <si>
    <t>עובדי מ. האוצר</t>
  </si>
  <si>
    <t>שפיר נדסה - חניון הלאום</t>
  </si>
  <si>
    <t xml:space="preserve">שד' יצחק רבין </t>
  </si>
  <si>
    <t>מדובר על חניון שמשרת את על עובדי משרד האוצר ואת חשכ"ל. כל שנה נפתח אומדן שנתי</t>
  </si>
  <si>
    <t>חניון בית השנהב</t>
  </si>
  <si>
    <t>אגף השכר+ מנהל הרכב</t>
  </si>
  <si>
    <t>מטה הפיקוח על הבניה</t>
  </si>
  <si>
    <t>אגף הדיור הממשלתי</t>
  </si>
  <si>
    <t>בית הדפוס 20</t>
  </si>
  <si>
    <t>בית דונה</t>
  </si>
  <si>
    <t>המשרד הראשי</t>
  </si>
  <si>
    <t>קפלן 1</t>
  </si>
  <si>
    <t>תחת הסכם בלוזר: 
מנויים כפול 17 ימים כפול מספר החודשים כפול 32.45 ₪</t>
  </si>
  <si>
    <t>חניות מתוקף הסכם השכירות</t>
  </si>
  <si>
    <t>חניות מתוקף הסכם השכירות
חמש חניות לפי תעריף 322 למ"ר
עשר חניות לפי תעריף 481.58 למ"ר</t>
  </si>
  <si>
    <t>עובדי מ. האוצר וחשכ"ל</t>
  </si>
  <si>
    <t>ללא עלות, הנכס בבעלות המדינה</t>
  </si>
  <si>
    <t>תל אביב</t>
  </si>
  <si>
    <t>הרשות לזכויות ניצולי שואה מרכז</t>
  </si>
  <si>
    <t>א.מ יותר אחזקות בע"מ</t>
  </si>
  <si>
    <t>המסגר 39</t>
  </si>
  <si>
    <t>הלשכה לפיצויים מגרמניה</t>
  </si>
  <si>
    <t>בית הרכב בע"מ</t>
  </si>
  <si>
    <t>אחד העם 9</t>
  </si>
  <si>
    <t>מחצית היובל בע"מ</t>
  </si>
  <si>
    <t>מנחם בגין 125</t>
  </si>
  <si>
    <t>פיקוח על הבניה מחוז תל אביב + תגמול תמרוץ - אגף השכר</t>
  </si>
  <si>
    <t>לפי החישוב של: מנוי*17 ימים בחודש *12 חודשים</t>
  </si>
  <si>
    <t>פיקוח על הבניה מחוז דרום</t>
  </si>
  <si>
    <t>אשמורת תיכונה בע"מ</t>
  </si>
  <si>
    <t>התקוה 4</t>
  </si>
  <si>
    <t>רשות לזכויות ניצולי שואה חיפה + פיקוח על הבניה מחוז חיפה</t>
  </si>
  <si>
    <t>פיקוח על הבניה מחוז צפון</t>
  </si>
  <si>
    <t>פיקוח על הבניה מחוז מרכז</t>
  </si>
  <si>
    <t>מנהל הרכב</t>
  </si>
  <si>
    <t>פל ים</t>
  </si>
  <si>
    <r>
      <t xml:space="preserve">
</t>
    </r>
    <r>
      <rPr>
        <u/>
        <sz val="11"/>
        <color theme="1"/>
        <rFont val="Arial"/>
        <family val="2"/>
        <scheme val="minor"/>
      </rPr>
      <t>רשות לזכויות ניצולי שואה</t>
    </r>
    <r>
      <rPr>
        <sz val="11"/>
        <color theme="1"/>
        <rFont val="Arial"/>
        <family val="2"/>
        <charset val="177"/>
        <scheme val="minor"/>
      </rPr>
      <t xml:space="preserve">:
מתוקף חוזה השכירות 5 חניות בשווי 350 ₪ לפני מע"מ.
120 שוברי חניה.
</t>
    </r>
    <r>
      <rPr>
        <u/>
        <sz val="11"/>
        <color theme="1"/>
        <rFont val="Arial"/>
        <family val="2"/>
        <scheme val="minor"/>
      </rPr>
      <t>פיקוח על הבניה</t>
    </r>
    <r>
      <rPr>
        <sz val="11"/>
        <color theme="1"/>
        <rFont val="Arial"/>
        <family val="2"/>
        <charset val="177"/>
        <scheme val="minor"/>
      </rPr>
      <t>:
לפי החישוב של 9 מנויים*23 ימים בחודש *12 חודשים.
50 שוברי חניה.</t>
    </r>
  </si>
  <si>
    <t xml:space="preserve">ללא עלות, קיים חניון ציבורי  </t>
  </si>
  <si>
    <t>מתוקף הסכם השכירות החניות שמוקצות הינן ביחס לשטח של הנכס בקריית הממשלה ברמלה</t>
  </si>
  <si>
    <t>תפוז ייזום ופיתוח תחנות בע"מ</t>
  </si>
  <si>
    <t>הרצל 91</t>
  </si>
  <si>
    <t>קלאוזנר 20</t>
  </si>
  <si>
    <t xml:space="preserve">שירותי חניה בחניון מרכזית ירושלים לתקופה: 1.6.18 - 31.5.19 </t>
  </si>
  <si>
    <t xml:space="preserve">שירותי חניה בחניון מרכזית ירושלים לתקופה: 1.6.19 - 31.5.20 </t>
  </si>
  <si>
    <t xml:space="preserve">ב-1.7.19 חודש החוזה והמחירים עודכנו:
מחיר למנוי 580 ₪ ועודכן ל-16 מנויים
מחיר לשובר נשאר 10 ₪ </t>
  </si>
  <si>
    <t>9חניות
עלה ל-16חניות</t>
  </si>
  <si>
    <t>תחת הסכם בלוזר: 
מנויים כפול 17 ימים כפול מספר החודשים כפול 39.28 ₪</t>
  </si>
  <si>
    <t xml:space="preserve">שירותי חניה בחניון מרכזית ירושלים לתקופה: 1.6.20 - 31.5.21 </t>
  </si>
  <si>
    <t>חניון הלל</t>
  </si>
  <si>
    <t xml:space="preserve">הלל </t>
  </si>
  <si>
    <t xml:space="preserve">שירותי חניה בחניון מרכזית ירושלים לתקופה: 1.1.20 - 30.6.21 </t>
  </si>
  <si>
    <t>חניות מתוקף הסכם השכירות
1500 ימי חניה</t>
  </si>
  <si>
    <t>חניות מתוקף הסכם השכירות
2000 ימי חניה</t>
  </si>
  <si>
    <r>
      <t xml:space="preserve">
</t>
    </r>
    <r>
      <rPr>
        <u/>
        <sz val="11"/>
        <color theme="1"/>
        <rFont val="Arial"/>
        <family val="2"/>
        <scheme val="minor"/>
      </rPr>
      <t>רשות לזכויות ניצולי שואה</t>
    </r>
    <r>
      <rPr>
        <sz val="11"/>
        <color theme="1"/>
        <rFont val="Arial"/>
        <family val="2"/>
        <charset val="177"/>
        <scheme val="minor"/>
      </rPr>
      <t xml:space="preserve">:
מתוקף חוזה השכירות 5 חניות בשווי 350 ₪ לפני מע"מ.
60 שוברי חניה.
</t>
    </r>
    <r>
      <rPr>
        <u/>
        <sz val="11"/>
        <color theme="1"/>
        <rFont val="Arial"/>
        <family val="2"/>
        <scheme val="minor"/>
      </rPr>
      <t>פיקוח על הבניה</t>
    </r>
    <r>
      <rPr>
        <sz val="11"/>
        <color theme="1"/>
        <rFont val="Arial"/>
        <family val="2"/>
        <charset val="177"/>
        <scheme val="minor"/>
      </rPr>
      <t>:
לפי החישוב של 10 מנויים*23 ימים בחודש *12 חודשים.
72 שוברי חניה.</t>
    </r>
  </si>
  <si>
    <r>
      <t xml:space="preserve">
</t>
    </r>
    <r>
      <rPr>
        <u/>
        <sz val="11"/>
        <color theme="1"/>
        <rFont val="Arial"/>
        <family val="2"/>
        <scheme val="minor"/>
      </rPr>
      <t>רשות לזכויות ניצולי שואה</t>
    </r>
    <r>
      <rPr>
        <sz val="11"/>
        <color theme="1"/>
        <rFont val="Arial"/>
        <family val="2"/>
        <charset val="177"/>
        <scheme val="minor"/>
      </rPr>
      <t xml:space="preserve">:
מתוקף חוזה השכירות 5 חניות בשווי 350 ₪ לפני מע"מ.
40 שוברי חניה.
</t>
    </r>
    <r>
      <rPr>
        <u/>
        <sz val="11"/>
        <color theme="1"/>
        <rFont val="Arial"/>
        <family val="2"/>
        <scheme val="minor"/>
      </rPr>
      <t>פיקוח על הבניה</t>
    </r>
    <r>
      <rPr>
        <sz val="11"/>
        <color theme="1"/>
        <rFont val="Arial"/>
        <family val="2"/>
        <charset val="177"/>
        <scheme val="minor"/>
      </rPr>
      <t>:
לפי החישוב של 9 מנויים*23 ימים בחודש *12 חודשים.
100 שוברי חניה.</t>
    </r>
  </si>
  <si>
    <t xml:space="preserve">מרכבה </t>
  </si>
  <si>
    <t>מנהלת הגמלאות</t>
  </si>
  <si>
    <t>תגמול תמרוץ - אגף השכר</t>
  </si>
  <si>
    <t>החלק היחסי לשנת 2021
 31.5.21 - 31.12.21</t>
  </si>
  <si>
    <t>חניון שמאי</t>
  </si>
  <si>
    <t>שמאי 10</t>
  </si>
  <si>
    <t>חניון מוזיאון הסובלנות</t>
  </si>
  <si>
    <t xml:space="preserve">החלק היחסי לשנת 2021
 1.4.21 -31.12.21 </t>
  </si>
  <si>
    <t>מנהלת הגמלאות עברה לחנות בחניון מוזיאון הסובלנות, בשנת 2021 המשיכו לחנות למשך 3 חודשים ואז נשארו לחנות רק 4 מנויים. המשיכו להשתמש בשוברי האורחים היומיים והשעתיים בחניון זה.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</si>
</sst>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0_ ;\-0\ "/>
    <numFmt numFmtId="165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165" fontId="0" fillId="0" borderId="0" xfId="2" applyNumberFormat="1" applyFont="1"/>
    <xf numFmtId="0" fontId="0" fillId="2" borderId="0" xfId="0" applyFill="1" applyAlignment="1">
      <alignment wrapText="1"/>
    </xf>
    <xf numFmtId="165" fontId="0" fillId="2" borderId="0" xfId="2" applyNumberFormat="1" applyFont="1" applyFill="1" applyAlignment="1">
      <alignment wrapText="1"/>
    </xf>
    <xf numFmtId="44" fontId="0" fillId="2" borderId="0" xfId="1" applyFont="1" applyFill="1" applyAlignment="1">
      <alignment wrapText="1"/>
    </xf>
    <xf numFmtId="164" fontId="2" fillId="2" borderId="0" xfId="1" applyNumberFormat="1" applyFont="1" applyFill="1" applyAlignment="1">
      <alignment wrapText="1"/>
    </xf>
    <xf numFmtId="44" fontId="0" fillId="2" borderId="0" xfId="1" applyNumberFormat="1" applyFont="1" applyFill="1" applyAlignment="1">
      <alignment wrapText="1"/>
    </xf>
    <xf numFmtId="0" fontId="0" fillId="2" borderId="0" xfId="0" applyFill="1"/>
    <xf numFmtId="165" fontId="0" fillId="2" borderId="0" xfId="2" applyNumberFormat="1" applyFont="1" applyFill="1"/>
    <xf numFmtId="44" fontId="0" fillId="2" borderId="0" xfId="1" applyFont="1" applyFill="1"/>
    <xf numFmtId="164" fontId="0" fillId="2" borderId="0" xfId="1" applyNumberFormat="1" applyFont="1" applyFill="1"/>
    <xf numFmtId="0" fontId="0" fillId="3" borderId="0" xfId="0" applyFill="1" applyAlignment="1">
      <alignment wrapText="1"/>
    </xf>
    <xf numFmtId="0" fontId="0" fillId="3" borderId="0" xfId="0" applyFill="1"/>
    <xf numFmtId="165" fontId="0" fillId="3" borderId="0" xfId="2" applyNumberFormat="1" applyFont="1" applyFill="1"/>
    <xf numFmtId="44" fontId="0" fillId="3" borderId="0" xfId="1" applyFont="1" applyFill="1"/>
    <xf numFmtId="164" fontId="0" fillId="3" borderId="0" xfId="1" applyNumberFormat="1" applyFont="1" applyFill="1"/>
    <xf numFmtId="0" fontId="0" fillId="3" borderId="0" xfId="0" applyFill="1" applyAlignment="1">
      <alignment horizontal="right" vertical="center" wrapText="1" readingOrder="2"/>
    </xf>
    <xf numFmtId="49" fontId="0" fillId="3" borderId="0" xfId="0" applyNumberFormat="1" applyFill="1" applyAlignment="1">
      <alignment horizontal="right" wrapText="1"/>
    </xf>
    <xf numFmtId="164" fontId="2" fillId="3" borderId="0" xfId="1" applyNumberFormat="1" applyFont="1" applyFill="1"/>
    <xf numFmtId="44" fontId="0" fillId="3" borderId="0" xfId="1" applyNumberFormat="1" applyFont="1" applyFill="1"/>
    <xf numFmtId="0" fontId="0" fillId="4" borderId="0" xfId="0" applyFill="1"/>
    <xf numFmtId="0" fontId="0" fillId="4" borderId="0" xfId="0" applyFill="1" applyAlignment="1">
      <alignment wrapText="1"/>
    </xf>
    <xf numFmtId="165" fontId="0" fillId="4" borderId="0" xfId="2" applyNumberFormat="1" applyFont="1" applyFill="1"/>
    <xf numFmtId="44" fontId="0" fillId="4" borderId="0" xfId="1" applyFont="1" applyFill="1"/>
    <xf numFmtId="164" fontId="0" fillId="4" borderId="0" xfId="1" applyNumberFormat="1" applyFont="1" applyFill="1"/>
    <xf numFmtId="0" fontId="0" fillId="5" borderId="0" xfId="0" applyFill="1"/>
    <xf numFmtId="0" fontId="0" fillId="5" borderId="0" xfId="0" applyFill="1" applyAlignment="1">
      <alignment wrapText="1"/>
    </xf>
    <xf numFmtId="165" fontId="0" fillId="5" borderId="0" xfId="2" applyNumberFormat="1" applyFont="1" applyFill="1"/>
    <xf numFmtId="44" fontId="0" fillId="5" borderId="0" xfId="1" applyFont="1" applyFill="1"/>
    <xf numFmtId="164" fontId="0" fillId="5" borderId="0" xfId="1" applyNumberFormat="1" applyFont="1" applyFill="1"/>
    <xf numFmtId="0" fontId="0" fillId="6" borderId="0" xfId="0" applyFill="1"/>
    <xf numFmtId="0" fontId="0" fillId="6" borderId="0" xfId="0" applyFill="1" applyAlignment="1">
      <alignment wrapText="1"/>
    </xf>
    <xf numFmtId="165" fontId="0" fillId="6" borderId="0" xfId="2" applyNumberFormat="1" applyFont="1" applyFill="1"/>
    <xf numFmtId="44" fontId="0" fillId="6" borderId="0" xfId="1" applyFont="1" applyFill="1"/>
    <xf numFmtId="164" fontId="0" fillId="6" borderId="0" xfId="1" applyNumberFormat="1" applyFont="1" applyFill="1"/>
    <xf numFmtId="0" fontId="0" fillId="7" borderId="0" xfId="0" applyFill="1"/>
    <xf numFmtId="0" fontId="0" fillId="7" borderId="0" xfId="0" applyFill="1" applyAlignment="1">
      <alignment wrapText="1"/>
    </xf>
    <xf numFmtId="165" fontId="0" fillId="7" borderId="0" xfId="2" applyNumberFormat="1" applyFont="1" applyFill="1"/>
    <xf numFmtId="44" fontId="0" fillId="7" borderId="0" xfId="1" applyFont="1" applyFill="1"/>
    <xf numFmtId="164" fontId="0" fillId="7" borderId="0" xfId="1" applyNumberFormat="1" applyFont="1" applyFill="1"/>
    <xf numFmtId="0" fontId="0" fillId="8" borderId="0" xfId="0" applyFill="1"/>
    <xf numFmtId="0" fontId="0" fillId="8" borderId="0" xfId="0" applyFill="1" applyAlignment="1">
      <alignment wrapText="1"/>
    </xf>
    <xf numFmtId="165" fontId="0" fillId="8" borderId="0" xfId="2" applyNumberFormat="1" applyFont="1" applyFill="1"/>
    <xf numFmtId="44" fontId="0" fillId="8" borderId="0" xfId="1" applyFont="1" applyFill="1"/>
    <xf numFmtId="164" fontId="0" fillId="8" borderId="0" xfId="1" applyNumberFormat="1" applyFont="1" applyFill="1"/>
    <xf numFmtId="164" fontId="3" fillId="6" borderId="0" xfId="1" applyNumberFormat="1" applyFont="1" applyFill="1"/>
    <xf numFmtId="44" fontId="0" fillId="6" borderId="0" xfId="1" applyNumberFormat="1" applyFont="1" applyFill="1"/>
    <xf numFmtId="44" fontId="0" fillId="3" borderId="0" xfId="1" applyFont="1" applyFill="1" applyAlignment="1">
      <alignment wrapText="1"/>
    </xf>
    <xf numFmtId="165" fontId="0" fillId="3" borderId="0" xfId="2" applyNumberFormat="1" applyFont="1" applyFill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32">
    <dxf>
      <numFmt numFmtId="34" formatCode="_ &quot;₪&quot;\ * #,##0.00_ ;_ &quot;₪&quot;\ * \-#,##0.00_ ;_ &quot;₪&quot;\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_ ;\-0\ "/>
    </dxf>
    <dxf>
      <numFmt numFmtId="165" formatCode="_ * #,##0_ ;_ * \-#,##0_ ;_ * &quot;-&quot;??_ ;_ @_ 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 &quot;₪&quot;\ * #,##0.00_ ;_ &quot;₪&quot;\ * \-#,##0.00_ ;_ &quot;₪&quot;\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_ ;\-0\ "/>
    </dxf>
    <dxf>
      <numFmt numFmtId="165" formatCode="_ * #,##0_ ;_ * \-#,##0_ ;_ * &quot;-&quot;??_ ;_ @_ 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 &quot;₪&quot;\ * #,##0.00_ ;_ &quot;₪&quot;\ * \-#,##0.00_ ;_ &quot;₪&quot;\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_ ;\-0\ "/>
    </dxf>
    <dxf>
      <numFmt numFmtId="165" formatCode="_ * #,##0_ ;_ * \-#,##0_ ;_ * &quot;-&quot;??_ ;_ @_ 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 &quot;₪&quot;\ * #,##0.00_ ;_ &quot;₪&quot;\ * \-#,##0.00_ ;_ &quot;₪&quot;\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_ ;\-0\ "/>
    </dxf>
    <dxf>
      <numFmt numFmtId="165" formatCode="_ * #,##0_ ;_ * \-#,##0_ ;_ * &quot;-&quot;??_ ;_ @_ 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טבלה5" displayName="טבלה5" ref="A1:N29" totalsRowShown="0" headerRowDxfId="31">
  <autoFilter ref="A1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עיר"/>
    <tableColumn id="3" name="שם היחידה" dataDxfId="30"/>
    <tableColumn id="4" name="שם החניון" dataDxfId="29"/>
    <tableColumn id="5" name="כתובת החניון"/>
    <tableColumn id="6" name="מס' חניות שכורות (כמות מנויים)" dataDxfId="28" dataCellStyle="Comma"/>
    <tableColumn id="7" name="עלות לחניה לפני מע&quot;מ והצמדות" dataCellStyle="Currency"/>
    <tableColumn id="13" name="תקופת השימוש בחניון בחודשים" dataDxfId="27" dataCellStyle="Currency"/>
    <tableColumn id="10" name="כמות שוברי חניה יומיים" dataDxfId="26" dataCellStyle="Comma"/>
    <tableColumn id="12" name="כמות שוברי חניה שעתיים" dataDxfId="25" dataCellStyle="Comma"/>
    <tableColumn id="11" name="עלות שובר יומי לפני מע&quot;מ" dataCellStyle="Currency"/>
    <tableColumn id="14" name="עלות שובר שעתי לפני מע&quot;מ" dataCellStyle="Currency"/>
    <tableColumn id="8" name="עלות חניות כוללת לתקופה לפני מע&quot;מ" dataDxfId="24" dataCellStyle="Currency">
      <calculatedColumnFormula>+טבלה5[[#This Row],[עלות לחניה לפני מע"מ והצמדות]]*טבלה5[[#This Row],[מס'' חניות שכורות (כמות מנויים)]]</calculatedColumnFormula>
    </tableColumn>
    <tableColumn id="9" name="הגורמים הזכאים לחניה"/>
    <tableColumn id="1" name="הערות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1" name="טבלה52" displayName="טבלה52" ref="A1:N28" totalsRowShown="0" headerRowDxfId="23">
  <autoFilter ref="A1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עיר"/>
    <tableColumn id="3" name="שם היחידה" dataDxfId="22"/>
    <tableColumn id="4" name="שם החניון" dataDxfId="21"/>
    <tableColumn id="5" name="כתובת החניון"/>
    <tableColumn id="6" name="מס' חניות שכורות (כמות מנויים)" dataDxfId="20" dataCellStyle="Comma"/>
    <tableColumn id="7" name="עלות לחניה לפני מע&quot;מ והצמדות" dataCellStyle="Currency"/>
    <tableColumn id="13" name="תקופת השימוש בחניון בחודשים" dataDxfId="19" dataCellStyle="Currency"/>
    <tableColumn id="10" name="כמות שוברי חניה יומיים" dataDxfId="18" dataCellStyle="Comma"/>
    <tableColumn id="12" name="כמות שוברי חניה שעתיים" dataDxfId="17" dataCellStyle="Comma"/>
    <tableColumn id="11" name="עלות שובר יומי לפני מע&quot;מ" dataCellStyle="Currency"/>
    <tableColumn id="14" name="עלות שובר שעתי לפני מע&quot;מ" dataCellStyle="Currency"/>
    <tableColumn id="8" name="עלות חניות כוללת לתקופה לפני מע&quot;מ" dataDxfId="16" dataCellStyle="Currency">
      <calculatedColumnFormula>+טבלה52[[#This Row],[עלות לחניה לפני מע"מ והצמדות]]*טבלה52[[#This Row],[מס'' חניות שכורות (כמות מנויים)]]</calculatedColumnFormula>
    </tableColumn>
    <tableColumn id="9" name="הגורמים הזכאים לחניה"/>
    <tableColumn id="1" name="הערות"/>
  </tableColumns>
  <tableStyleInfo name="TableStyleLight9" showFirstColumn="0" showLastColumn="0" showRowStripes="1" showColumnStripes="1"/>
</table>
</file>

<file path=xl/tables/table3.xml><?xml version="1.0" encoding="utf-8"?>
<table xmlns="http://schemas.openxmlformats.org/spreadsheetml/2006/main" id="2" name="טבלה523" displayName="טבלה523" ref="A1:N28" totalsRowShown="0" headerRowDxfId="15">
  <autoFilter ref="A1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עיר"/>
    <tableColumn id="3" name="שם היחידה" dataDxfId="14"/>
    <tableColumn id="4" name="שם החניון" dataDxfId="13"/>
    <tableColumn id="5" name="כתובת החניון"/>
    <tableColumn id="6" name="מס' חניות שכורות (כמות מנויים)" dataDxfId="12" dataCellStyle="Comma"/>
    <tableColumn id="7" name="עלות לחניה לפני מע&quot;מ והצמדות" dataCellStyle="Currency"/>
    <tableColumn id="13" name="תקופת השימוש בחניון בחודשים" dataDxfId="11" dataCellStyle="Currency"/>
    <tableColumn id="10" name="כמות שוברי חניה יומיים" dataDxfId="10" dataCellStyle="Comma"/>
    <tableColumn id="12" name="כמות שוברי חניה שעתיים" dataDxfId="9" dataCellStyle="Comma"/>
    <tableColumn id="11" name="עלות שובר יומי לפני מע&quot;מ" dataCellStyle="Currency"/>
    <tableColumn id="14" name="עלות שובר שעתי לפני מע&quot;מ" dataCellStyle="Currency"/>
    <tableColumn id="8" name="עלות חניות כוללת לתקופה לפני מע&quot;מ" dataDxfId="8" dataCellStyle="Currency">
      <calculatedColumnFormula>+טבלה523[[#This Row],[עלות לחניה לפני מע"מ והצמדות]]*טבלה523[[#This Row],[מס'' חניות שכורות (כמות מנויים)]]</calculatedColumnFormula>
    </tableColumn>
    <tableColumn id="9" name="הגורמים הזכאים לחניה"/>
    <tableColumn id="1" name="הערות"/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id="3" name="טבלה5234" displayName="טבלה5234" ref="A1:N19" totalsRowShown="0" headerRowDxfId="7">
  <autoFilter ref="A1:N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name="עיר"/>
    <tableColumn id="3" name="שם היחידה" dataDxfId="6"/>
    <tableColumn id="4" name="שם החניון" dataDxfId="5"/>
    <tableColumn id="5" name="כתובת החניון"/>
    <tableColumn id="6" name="מס' חניות שכורות (כמות מנויים)" dataDxfId="4" dataCellStyle="Comma"/>
    <tableColumn id="7" name="עלות לחניה לפני מע&quot;מ והצמדות" dataCellStyle="Currency"/>
    <tableColumn id="13" name="תקופת השימוש בחניון בחודשים" dataDxfId="3" dataCellStyle="Currency"/>
    <tableColumn id="10" name="כמות שוברי חניה יומיים" dataDxfId="2" dataCellStyle="Comma"/>
    <tableColumn id="12" name="כמות שוברי חניה שעתיים" dataDxfId="1" dataCellStyle="Comma"/>
    <tableColumn id="11" name="עלות שובר יומי לפני מע&quot;מ" dataCellStyle="Currency"/>
    <tableColumn id="14" name="עלות שובר שעתי לפני מע&quot;מ" dataCellStyle="Currency"/>
    <tableColumn id="8" name="עלות חניות כוללת לתקופה לפני מע&quot;מ" dataDxfId="0" dataCellStyle="Currency">
      <calculatedColumnFormula>+טבלה5234[[#This Row],[עלות לחניה לפני מע"מ והצמדות]]*טבלה5234[[#This Row],[מס'' חניות שכורות (כמות מנויים)]]</calculatedColumnFormula>
    </tableColumn>
    <tableColumn id="9" name="הגורמים הזכאים לחניה"/>
    <tableColumn id="1" name="הערות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rightToLeft="1" workbookViewId="0">
      <selection activeCell="H3" sqref="H3"/>
    </sheetView>
  </sheetViews>
  <sheetFormatPr defaultRowHeight="14" x14ac:dyDescent="0.3"/>
  <cols>
    <col min="2" max="2" width="11.83203125" customWidth="1"/>
    <col min="3" max="3" width="12.5" customWidth="1"/>
    <col min="4" max="4" width="13.58203125" customWidth="1"/>
    <col min="5" max="5" width="20.83203125" style="4" customWidth="1"/>
    <col min="6" max="6" width="9.83203125" customWidth="1"/>
    <col min="7" max="7" width="12.58203125" customWidth="1"/>
    <col min="8" max="8" width="13.33203125" style="4" customWidth="1"/>
    <col min="9" max="9" width="12.5" style="4" customWidth="1"/>
    <col min="10" max="10" width="9.33203125" customWidth="1"/>
    <col min="11" max="11" width="9.25" customWidth="1"/>
    <col min="12" max="12" width="13.58203125" customWidth="1"/>
    <col min="13" max="13" width="14.08203125" customWidth="1"/>
    <col min="14" max="14" width="35.5" customWidth="1"/>
  </cols>
  <sheetData>
    <row r="1" spans="1:14" ht="56.5" customHeight="1" x14ac:dyDescent="0.3">
      <c r="A1" s="1" t="s">
        <v>0</v>
      </c>
      <c r="B1" s="1" t="s">
        <v>3</v>
      </c>
      <c r="C1" s="1" t="s">
        <v>1</v>
      </c>
      <c r="D1" s="1" t="s">
        <v>2</v>
      </c>
      <c r="E1" s="3" t="s">
        <v>4</v>
      </c>
      <c r="F1" s="2" t="s">
        <v>24</v>
      </c>
      <c r="G1" s="2" t="s">
        <v>17</v>
      </c>
      <c r="H1" s="3" t="s">
        <v>15</v>
      </c>
      <c r="I1" s="3" t="s">
        <v>6</v>
      </c>
      <c r="J1" s="2" t="s">
        <v>44</v>
      </c>
      <c r="K1" s="2" t="s">
        <v>45</v>
      </c>
      <c r="L1" s="2" t="s">
        <v>46</v>
      </c>
      <c r="M1" s="2" t="s">
        <v>5</v>
      </c>
      <c r="N1" s="1" t="s">
        <v>16</v>
      </c>
    </row>
    <row r="2" spans="1:14" ht="70" x14ac:dyDescent="0.3">
      <c r="A2" s="14" t="s">
        <v>7</v>
      </c>
      <c r="B2" s="14" t="s">
        <v>42</v>
      </c>
      <c r="C2" s="14" t="s">
        <v>13</v>
      </c>
      <c r="D2" s="15" t="s">
        <v>12</v>
      </c>
      <c r="E2" s="16">
        <v>62</v>
      </c>
      <c r="F2" s="17">
        <v>950</v>
      </c>
      <c r="G2" s="18">
        <v>2</v>
      </c>
      <c r="H2" s="16"/>
      <c r="I2" s="16"/>
      <c r="J2" s="17"/>
      <c r="K2" s="17"/>
      <c r="L2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117800</v>
      </c>
      <c r="M2" s="15" t="s">
        <v>14</v>
      </c>
      <c r="N2" s="14" t="s">
        <v>18</v>
      </c>
    </row>
    <row r="3" spans="1:14" ht="59.15" customHeight="1" x14ac:dyDescent="0.3">
      <c r="A3" s="14" t="s">
        <v>7</v>
      </c>
      <c r="B3" s="14" t="s">
        <v>19</v>
      </c>
      <c r="C3" s="14" t="s">
        <v>43</v>
      </c>
      <c r="D3" s="15" t="s">
        <v>20</v>
      </c>
      <c r="E3" s="16">
        <v>1</v>
      </c>
      <c r="F3" s="17">
        <v>450</v>
      </c>
      <c r="G3" s="18">
        <v>12</v>
      </c>
      <c r="H3" s="16"/>
      <c r="I3" s="16"/>
      <c r="J3" s="17"/>
      <c r="K3" s="17"/>
      <c r="L3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5400</v>
      </c>
      <c r="M3" s="15" t="s">
        <v>14</v>
      </c>
      <c r="N3" s="15"/>
    </row>
    <row r="4" spans="1:14" ht="42" x14ac:dyDescent="0.3">
      <c r="A4" s="14" t="s">
        <v>7</v>
      </c>
      <c r="B4" s="14" t="s">
        <v>22</v>
      </c>
      <c r="C4" s="14" t="s">
        <v>21</v>
      </c>
      <c r="D4" s="14" t="s">
        <v>23</v>
      </c>
      <c r="E4" s="16">
        <v>55</v>
      </c>
      <c r="F4" s="17">
        <v>224</v>
      </c>
      <c r="G4" s="18">
        <v>12</v>
      </c>
      <c r="H4" s="16"/>
      <c r="I4" s="16">
        <v>340</v>
      </c>
      <c r="J4" s="17"/>
      <c r="K4" s="17">
        <v>8.5500000000000007</v>
      </c>
      <c r="L4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150747</v>
      </c>
      <c r="M4" s="14" t="s">
        <v>25</v>
      </c>
      <c r="N4" s="15"/>
    </row>
    <row r="5" spans="1:14" ht="56" x14ac:dyDescent="0.3">
      <c r="A5" s="14" t="s">
        <v>7</v>
      </c>
      <c r="B5" s="14" t="s">
        <v>28</v>
      </c>
      <c r="C5" s="14" t="s">
        <v>26</v>
      </c>
      <c r="D5" s="15" t="s">
        <v>27</v>
      </c>
      <c r="E5" s="16">
        <v>23</v>
      </c>
      <c r="F5" s="17">
        <v>500</v>
      </c>
      <c r="G5" s="18">
        <v>12</v>
      </c>
      <c r="H5" s="16">
        <v>840</v>
      </c>
      <c r="I5" s="16"/>
      <c r="J5" s="17">
        <v>28</v>
      </c>
      <c r="K5" s="17"/>
      <c r="L5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161520</v>
      </c>
      <c r="M5" s="14" t="s">
        <v>25</v>
      </c>
      <c r="N5" s="14" t="s">
        <v>93</v>
      </c>
    </row>
    <row r="6" spans="1:14" ht="28" x14ac:dyDescent="0.3">
      <c r="A6" s="14" t="s">
        <v>7</v>
      </c>
      <c r="B6" s="14" t="s">
        <v>30</v>
      </c>
      <c r="C6" s="14" t="s">
        <v>29</v>
      </c>
      <c r="D6" s="15" t="s">
        <v>31</v>
      </c>
      <c r="E6" s="16">
        <v>5</v>
      </c>
      <c r="F6" s="17">
        <v>933.45</v>
      </c>
      <c r="G6" s="18">
        <v>12</v>
      </c>
      <c r="H6" s="16"/>
      <c r="I6" s="16"/>
      <c r="J6" s="17"/>
      <c r="K6" s="17"/>
      <c r="L6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56007</v>
      </c>
      <c r="M6" s="15" t="s">
        <v>14</v>
      </c>
      <c r="N6" s="15"/>
    </row>
    <row r="7" spans="1:14" ht="28" x14ac:dyDescent="0.3">
      <c r="A7" s="14" t="s">
        <v>7</v>
      </c>
      <c r="B7" s="14" t="s">
        <v>33</v>
      </c>
      <c r="C7" s="14" t="s">
        <v>32</v>
      </c>
      <c r="D7" s="15" t="s">
        <v>34</v>
      </c>
      <c r="E7" s="16">
        <v>1</v>
      </c>
      <c r="F7" s="17">
        <v>777</v>
      </c>
      <c r="G7" s="18">
        <v>12</v>
      </c>
      <c r="H7" s="16"/>
      <c r="I7" s="16"/>
      <c r="J7" s="17"/>
      <c r="K7" s="17"/>
      <c r="L7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9324</v>
      </c>
      <c r="M7" s="15" t="s">
        <v>14</v>
      </c>
      <c r="N7" s="15"/>
    </row>
    <row r="8" spans="1:14" x14ac:dyDescent="0.3">
      <c r="A8" s="14" t="s">
        <v>7</v>
      </c>
      <c r="B8" s="14" t="s">
        <v>37</v>
      </c>
      <c r="C8" s="14" t="s">
        <v>35</v>
      </c>
      <c r="D8" s="15" t="s">
        <v>36</v>
      </c>
      <c r="E8" s="16">
        <v>1</v>
      </c>
      <c r="F8" s="17">
        <v>600</v>
      </c>
      <c r="G8" s="18">
        <v>12</v>
      </c>
      <c r="H8" s="16"/>
      <c r="I8" s="16"/>
      <c r="J8" s="17"/>
      <c r="K8" s="17"/>
      <c r="L8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7200</v>
      </c>
      <c r="M8" s="15" t="s">
        <v>14</v>
      </c>
      <c r="N8" s="15"/>
    </row>
    <row r="9" spans="1:14" ht="42" x14ac:dyDescent="0.3">
      <c r="A9" s="14" t="s">
        <v>7</v>
      </c>
      <c r="B9" s="14" t="s">
        <v>39</v>
      </c>
      <c r="C9" s="14" t="s">
        <v>38</v>
      </c>
      <c r="D9" s="15" t="s">
        <v>40</v>
      </c>
      <c r="E9" s="16">
        <v>10</v>
      </c>
      <c r="F9" s="17">
        <v>564</v>
      </c>
      <c r="G9" s="18">
        <v>12</v>
      </c>
      <c r="H9" s="16"/>
      <c r="I9" s="16">
        <v>300</v>
      </c>
      <c r="J9" s="17"/>
      <c r="K9" s="17">
        <v>10</v>
      </c>
      <c r="L9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70680</v>
      </c>
      <c r="M9" s="14" t="s">
        <v>25</v>
      </c>
      <c r="N9" s="15"/>
    </row>
    <row r="10" spans="1:14" ht="70" x14ac:dyDescent="0.3">
      <c r="A10" s="14" t="s">
        <v>7</v>
      </c>
      <c r="B10" s="14" t="s">
        <v>42</v>
      </c>
      <c r="C10" s="14" t="s">
        <v>41</v>
      </c>
      <c r="D10" s="15" t="s">
        <v>12</v>
      </c>
      <c r="E10" s="16">
        <v>62</v>
      </c>
      <c r="F10" s="17">
        <v>950</v>
      </c>
      <c r="G10" s="18">
        <v>12</v>
      </c>
      <c r="H10" s="16">
        <v>480</v>
      </c>
      <c r="I10" s="16">
        <v>840</v>
      </c>
      <c r="J10" s="17">
        <v>71.8</v>
      </c>
      <c r="K10" s="17">
        <v>11.97</v>
      </c>
      <c r="L10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751318.8</v>
      </c>
      <c r="M10" s="14" t="s">
        <v>25</v>
      </c>
      <c r="N10" s="15"/>
    </row>
    <row r="11" spans="1:14" ht="28" x14ac:dyDescent="0.3">
      <c r="A11" s="14" t="s">
        <v>7</v>
      </c>
      <c r="B11" s="14" t="s">
        <v>47</v>
      </c>
      <c r="C11" s="14" t="s">
        <v>49</v>
      </c>
      <c r="D11" s="15" t="s">
        <v>53</v>
      </c>
      <c r="E11" s="16">
        <f>11*23</f>
        <v>253</v>
      </c>
      <c r="F11" s="17">
        <v>26</v>
      </c>
      <c r="G11" s="18">
        <v>12</v>
      </c>
      <c r="H11" s="16"/>
      <c r="I11" s="16"/>
      <c r="J11" s="17"/>
      <c r="K11" s="17"/>
      <c r="L11" s="17">
        <f>SUM(טבלה5[[#This Row],[מס'' חניות שכורות (כמות מנויים)]]*טבלה5[[#This Row],[תקופת השימוש בחניון בחודשים]]*טבלה5[[#This Row],[עלות לחניה לפני מע"מ והצמדות]])+טבלה5[[#This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78936</v>
      </c>
      <c r="M11" s="15" t="s">
        <v>14</v>
      </c>
      <c r="N11" s="14" t="s">
        <v>50</v>
      </c>
    </row>
    <row r="12" spans="1:14" ht="57" customHeight="1" x14ac:dyDescent="0.3">
      <c r="A12" s="14" t="s">
        <v>7</v>
      </c>
      <c r="B12" s="14" t="s">
        <v>51</v>
      </c>
      <c r="C12" s="14" t="s">
        <v>52</v>
      </c>
      <c r="D12" s="15" t="s">
        <v>48</v>
      </c>
      <c r="E12" s="16">
        <v>1500</v>
      </c>
      <c r="F12" s="17">
        <v>26</v>
      </c>
      <c r="G12" s="18"/>
      <c r="H12" s="16"/>
      <c r="I12" s="16"/>
      <c r="J12" s="17"/>
      <c r="K12" s="17"/>
      <c r="L12" s="17">
        <f>+טבלה5[[#This Row],[עלות לחניה לפני מע"מ והצמדות]]*טבלה5[[#This Row],[מס'' חניות שכורות (כמות מנויים)]]</f>
        <v>39000</v>
      </c>
      <c r="M12" s="14" t="s">
        <v>66</v>
      </c>
      <c r="N12" s="14" t="s">
        <v>54</v>
      </c>
    </row>
    <row r="13" spans="1:14" ht="42" x14ac:dyDescent="0.3">
      <c r="A13" s="15" t="s">
        <v>7</v>
      </c>
      <c r="B13" s="14" t="s">
        <v>56</v>
      </c>
      <c r="C13" s="14" t="s">
        <v>55</v>
      </c>
      <c r="D13" s="15" t="s">
        <v>20</v>
      </c>
      <c r="E13" s="16">
        <f>+(15+4)*17</f>
        <v>323</v>
      </c>
      <c r="F13" s="17">
        <v>32.450000000000003</v>
      </c>
      <c r="G13" s="18">
        <v>12</v>
      </c>
      <c r="H13" s="16">
        <v>1070</v>
      </c>
      <c r="I13" s="16"/>
      <c r="J13" s="17">
        <v>76.92</v>
      </c>
      <c r="K13" s="17"/>
      <c r="L13" s="17">
        <f>+טבלה5[[#This Row],[עלות לחניה לפני מע"מ והצמדות]]*טבלה5[[#This Row],[מס'' חניות שכורות (כמות מנויים)]]*טבלה5[[#This Row],[תקופת השימוש בחניון בחודשים]]+טבלה5[[#This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208080.60000000003</v>
      </c>
      <c r="M13" s="14" t="s">
        <v>25</v>
      </c>
      <c r="N13" s="19" t="s">
        <v>63</v>
      </c>
    </row>
    <row r="14" spans="1:14" ht="28" x14ac:dyDescent="0.3">
      <c r="A14" s="15" t="s">
        <v>7</v>
      </c>
      <c r="B14" s="14" t="s">
        <v>57</v>
      </c>
      <c r="C14" s="14" t="s">
        <v>55</v>
      </c>
      <c r="D14" s="15" t="s">
        <v>20</v>
      </c>
      <c r="E14" s="16">
        <v>33</v>
      </c>
      <c r="F14" s="17">
        <v>420</v>
      </c>
      <c r="G14" s="18">
        <v>12</v>
      </c>
      <c r="H14" s="16">
        <v>596</v>
      </c>
      <c r="I14" s="16"/>
      <c r="J14" s="17">
        <v>76.92</v>
      </c>
      <c r="K14" s="17"/>
      <c r="L14" s="17">
        <f>+טבלה5[[#This Row],[עלות לחניה לפני מע"מ והצמדות]]*טבלה5[[#This Row],[מס'' חניות שכורות (כמות מנויים)]]*טבלה5[[#This Row],[תקופת השימוש בחניון בחודשים]]+טבלה5[[#This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212164.32</v>
      </c>
      <c r="M14" s="14" t="s">
        <v>25</v>
      </c>
      <c r="N14" s="15" t="s">
        <v>64</v>
      </c>
    </row>
    <row r="15" spans="1:14" ht="45.75" customHeight="1" x14ac:dyDescent="0.3">
      <c r="A15" s="15" t="s">
        <v>7</v>
      </c>
      <c r="B15" s="14" t="s">
        <v>58</v>
      </c>
      <c r="C15" s="14" t="s">
        <v>60</v>
      </c>
      <c r="D15" s="15" t="s">
        <v>59</v>
      </c>
      <c r="E15" s="16">
        <v>15</v>
      </c>
      <c r="F15" s="17"/>
      <c r="G15" s="18">
        <v>12</v>
      </c>
      <c r="H15" s="16"/>
      <c r="I15" s="16"/>
      <c r="J15" s="17"/>
      <c r="K15" s="17"/>
      <c r="L15" s="17">
        <v>77109.600000000006</v>
      </c>
      <c r="M15" s="14" t="s">
        <v>25</v>
      </c>
      <c r="N15" s="20" t="s">
        <v>65</v>
      </c>
    </row>
    <row r="16" spans="1:14" x14ac:dyDescent="0.3">
      <c r="A16" s="15" t="s">
        <v>7</v>
      </c>
      <c r="B16" s="14" t="s">
        <v>61</v>
      </c>
      <c r="C16" s="14" t="s">
        <v>61</v>
      </c>
      <c r="D16" s="14" t="s">
        <v>62</v>
      </c>
      <c r="E16" s="16">
        <v>320</v>
      </c>
      <c r="F16" s="17"/>
      <c r="G16" s="21"/>
      <c r="H16" s="16"/>
      <c r="I16" s="16"/>
      <c r="J16" s="17"/>
      <c r="K16" s="17"/>
      <c r="L16" s="22">
        <f>+טבלה5[[#This Row],[עלות לחניה לפני מע"מ והצמדות]]*טבלה5[[#This Row],[מס'' חניות שכורות (כמות מנויים)]]</f>
        <v>0</v>
      </c>
      <c r="M16" s="15"/>
      <c r="N16" s="15" t="s">
        <v>67</v>
      </c>
    </row>
    <row r="17" spans="1:14" x14ac:dyDescent="0.3">
      <c r="A17" s="5"/>
      <c r="B17" s="5"/>
      <c r="C17" s="5"/>
      <c r="D17" s="5"/>
      <c r="E17" s="6"/>
      <c r="F17" s="7"/>
      <c r="G17" s="8"/>
      <c r="H17" s="6"/>
      <c r="I17" s="6"/>
      <c r="J17" s="7"/>
      <c r="K17" s="7"/>
      <c r="L17" s="9"/>
      <c r="M17" s="5"/>
      <c r="N17" s="5"/>
    </row>
    <row r="18" spans="1:14" ht="42" x14ac:dyDescent="0.3">
      <c r="A18" s="23" t="s">
        <v>68</v>
      </c>
      <c r="B18" s="24" t="s">
        <v>69</v>
      </c>
      <c r="C18" s="24" t="s">
        <v>70</v>
      </c>
      <c r="D18" s="23" t="s">
        <v>71</v>
      </c>
      <c r="E18" s="25">
        <v>53</v>
      </c>
      <c r="F18" s="26">
        <v>580</v>
      </c>
      <c r="G18" s="27">
        <v>12</v>
      </c>
      <c r="H18" s="25"/>
      <c r="I18" s="25">
        <v>5000</v>
      </c>
      <c r="J18" s="26"/>
      <c r="K18" s="26">
        <v>16</v>
      </c>
      <c r="L18" s="26">
        <f>+טבלה5[[#This Row],[עלות לחניה לפני מע"מ והצמדות]]*טבלה5[[#This Row],[מס'' חניות שכורות (כמות מנויים)]]*טבלה5[[#This Row],[תקופת השימוש בחניון בחודשים]]+טבלה5[[#This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448880</v>
      </c>
      <c r="M18" s="24" t="s">
        <v>25</v>
      </c>
      <c r="N18" s="23"/>
    </row>
    <row r="19" spans="1:14" ht="42" x14ac:dyDescent="0.3">
      <c r="A19" s="23" t="s">
        <v>68</v>
      </c>
      <c r="B19" s="24" t="s">
        <v>72</v>
      </c>
      <c r="C19" s="24" t="s">
        <v>73</v>
      </c>
      <c r="D19" s="23" t="s">
        <v>74</v>
      </c>
      <c r="E19" s="25">
        <v>7</v>
      </c>
      <c r="F19" s="26">
        <v>845</v>
      </c>
      <c r="G19" s="27">
        <v>12</v>
      </c>
      <c r="H19" s="25">
        <v>100</v>
      </c>
      <c r="I19" s="25">
        <v>100</v>
      </c>
      <c r="J19" s="26">
        <v>66.67</v>
      </c>
      <c r="K19" s="26">
        <v>16.670000000000002</v>
      </c>
      <c r="L19" s="26">
        <f>+טבלה5[[#This Row],[עלות לחניה לפני מע"מ והצמדות]]*טבלה5[[#This Row],[מס'' חניות שכורות (כמות מנויים)]]*טבלה5[[#This Row],[תקופת השימוש בחניון בחודשים]]+טבלה5[[#This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79314</v>
      </c>
      <c r="M19" s="24" t="s">
        <v>25</v>
      </c>
      <c r="N19" s="23"/>
    </row>
    <row r="20" spans="1:14" ht="70" x14ac:dyDescent="0.3">
      <c r="A20" s="23" t="s">
        <v>68</v>
      </c>
      <c r="B20" s="24" t="s">
        <v>77</v>
      </c>
      <c r="C20" s="24" t="s">
        <v>75</v>
      </c>
      <c r="D20" s="23" t="s">
        <v>76</v>
      </c>
      <c r="E20" s="25">
        <v>20</v>
      </c>
      <c r="F20" s="26">
        <v>29.75</v>
      </c>
      <c r="G20" s="27"/>
      <c r="H20" s="25">
        <v>450</v>
      </c>
      <c r="I20" s="25"/>
      <c r="J20" s="26">
        <v>29.75</v>
      </c>
      <c r="K20" s="26"/>
      <c r="L20" s="26">
        <v>134767.5</v>
      </c>
      <c r="M20" s="24" t="s">
        <v>25</v>
      </c>
      <c r="N20" s="24" t="s">
        <v>78</v>
      </c>
    </row>
    <row r="21" spans="1:14" x14ac:dyDescent="0.3">
      <c r="A21" s="10"/>
      <c r="B21" s="5"/>
      <c r="C21" s="5"/>
      <c r="D21" s="10"/>
      <c r="E21" s="11"/>
      <c r="F21" s="12"/>
      <c r="G21" s="13"/>
      <c r="H21" s="11"/>
      <c r="I21" s="11"/>
      <c r="J21" s="12"/>
      <c r="K21" s="12"/>
      <c r="L21" s="12">
        <f>+טבלה5[[#This Row],[עלות לחניה לפני מע"מ והצמדות]]*טבלה5[[#This Row],[מס'' חניות שכורות (כמות מנויים)]]</f>
        <v>0</v>
      </c>
      <c r="M21" s="10"/>
      <c r="N21" s="10"/>
    </row>
    <row r="22" spans="1:14" ht="154" x14ac:dyDescent="0.3">
      <c r="A22" s="28" t="s">
        <v>9</v>
      </c>
      <c r="B22" s="29" t="s">
        <v>82</v>
      </c>
      <c r="C22" s="29" t="s">
        <v>29</v>
      </c>
      <c r="D22" s="28" t="s">
        <v>86</v>
      </c>
      <c r="E22" s="30"/>
      <c r="F22" s="31"/>
      <c r="G22" s="32">
        <v>12</v>
      </c>
      <c r="H22" s="30"/>
      <c r="I22" s="30">
        <v>170</v>
      </c>
      <c r="J22" s="31">
        <v>29.49</v>
      </c>
      <c r="K22" s="31"/>
      <c r="L22" s="31">
        <f>(5*350*12)+(9*23*12*29.49)+120*29.49+50*29.49</f>
        <v>99266.459999999992</v>
      </c>
      <c r="M22" s="28"/>
      <c r="N22" s="29" t="s">
        <v>87</v>
      </c>
    </row>
    <row r="23" spans="1:14" x14ac:dyDescent="0.3">
      <c r="A23" s="10"/>
      <c r="B23" s="5"/>
      <c r="C23" s="5"/>
      <c r="D23" s="10"/>
      <c r="E23" s="11"/>
      <c r="F23" s="12"/>
      <c r="G23" s="13"/>
      <c r="H23" s="11"/>
      <c r="I23" s="11"/>
      <c r="J23" s="12"/>
      <c r="K23" s="12"/>
      <c r="L23" s="12"/>
      <c r="M23" s="10"/>
      <c r="N23" s="10"/>
    </row>
    <row r="24" spans="1:14" ht="42" x14ac:dyDescent="0.3">
      <c r="A24" s="38" t="s">
        <v>10</v>
      </c>
      <c r="B24" s="39" t="s">
        <v>83</v>
      </c>
      <c r="C24" s="39"/>
      <c r="D24" s="38"/>
      <c r="E24" s="40"/>
      <c r="F24" s="41"/>
      <c r="G24" s="42"/>
      <c r="H24" s="40"/>
      <c r="I24" s="40"/>
      <c r="J24" s="41"/>
      <c r="K24" s="41"/>
      <c r="L24" s="41">
        <f>+טבלה5[[#This Row],[עלות לחניה לפני מע"מ והצמדות]]*טבלה5[[#This Row],[מס'' חניות שכורות (כמות מנויים)]]</f>
        <v>0</v>
      </c>
      <c r="M24" s="38"/>
      <c r="N24" s="15" t="s">
        <v>88</v>
      </c>
    </row>
    <row r="25" spans="1:14" x14ac:dyDescent="0.3">
      <c r="A25" s="10"/>
      <c r="B25" s="5"/>
      <c r="C25" s="5"/>
      <c r="D25" s="10"/>
      <c r="E25" s="11"/>
      <c r="F25" s="12"/>
      <c r="G25" s="13"/>
      <c r="H25" s="11"/>
      <c r="I25" s="11"/>
      <c r="J25" s="12"/>
      <c r="K25" s="12"/>
      <c r="L25" s="12">
        <f>+טבלה5[[#This Row],[עלות לחניה לפני מע"מ והצמדות]]*טבלה5[[#This Row],[מס'' חניות שכורות (כמות מנויים)]]</f>
        <v>0</v>
      </c>
      <c r="M25" s="10"/>
      <c r="N25" s="10"/>
    </row>
    <row r="26" spans="1:14" ht="42" x14ac:dyDescent="0.3">
      <c r="A26" s="43" t="s">
        <v>11</v>
      </c>
      <c r="B26" s="44" t="s">
        <v>79</v>
      </c>
      <c r="C26" s="44" t="s">
        <v>80</v>
      </c>
      <c r="D26" s="43" t="s">
        <v>81</v>
      </c>
      <c r="E26" s="45">
        <v>16</v>
      </c>
      <c r="F26" s="46">
        <v>18.8</v>
      </c>
      <c r="G26" s="47"/>
      <c r="H26" s="45"/>
      <c r="I26" s="45">
        <v>50</v>
      </c>
      <c r="J26" s="46"/>
      <c r="K26" s="46">
        <v>4.7</v>
      </c>
      <c r="L26" s="46">
        <v>43475</v>
      </c>
      <c r="M26" s="43"/>
      <c r="N26" s="44" t="s">
        <v>103</v>
      </c>
    </row>
    <row r="27" spans="1:14" x14ac:dyDescent="0.3">
      <c r="A27" s="10"/>
      <c r="B27" s="5"/>
      <c r="C27" s="5"/>
      <c r="D27" s="10"/>
      <c r="E27" s="11"/>
      <c r="F27" s="12"/>
      <c r="G27" s="13"/>
      <c r="H27" s="11"/>
      <c r="I27" s="11"/>
      <c r="J27" s="12"/>
      <c r="K27" s="12"/>
      <c r="L27" s="12">
        <f>+טבלה5[[#This Row],[עלות לחניה לפני מע"מ והצמדות]]*טבלה5[[#This Row],[מס'' חניות שכורות (כמות מנויים)]]</f>
        <v>0</v>
      </c>
      <c r="M27" s="10"/>
      <c r="N27" s="10"/>
    </row>
    <row r="28" spans="1:14" ht="42" x14ac:dyDescent="0.3">
      <c r="A28" s="33" t="s">
        <v>8</v>
      </c>
      <c r="B28" s="34" t="s">
        <v>84</v>
      </c>
      <c r="C28" s="34" t="s">
        <v>90</v>
      </c>
      <c r="D28" s="33" t="s">
        <v>91</v>
      </c>
      <c r="E28" s="35">
        <v>12</v>
      </c>
      <c r="F28" s="36">
        <v>420</v>
      </c>
      <c r="G28" s="37">
        <v>12</v>
      </c>
      <c r="H28" s="35">
        <v>200</v>
      </c>
      <c r="I28" s="35">
        <v>50</v>
      </c>
      <c r="J28" s="36">
        <v>25</v>
      </c>
      <c r="K28" s="36">
        <v>8</v>
      </c>
      <c r="L28" s="36">
        <f>+טבלה5[[#This Row],[עלות לחניה לפני מע"מ והצמדות]]*טבלה5[[#This Row],[מס'' חניות שכורות (כמות מנויים)]]*טבלה5[[#This Row],[תקופת השימוש בחניון בחודשים]]+טבלה5[[#This Row],[כמות שוברי חניה יומיים]]*טבלה5[[#This Row],[עלות שובר יומי לפני מע"מ]]+טבלה5[[#This Row],[כמות שוברי חניה שעתיים]]*טבלה5[[#This Row],[עלות שובר שעתי לפני מע"מ]]</f>
        <v>65880</v>
      </c>
      <c r="M28" s="33"/>
      <c r="N28" s="34" t="s">
        <v>89</v>
      </c>
    </row>
    <row r="29" spans="1:14" x14ac:dyDescent="0.3">
      <c r="A29" s="33" t="s">
        <v>8</v>
      </c>
      <c r="B29" s="34" t="s">
        <v>85</v>
      </c>
      <c r="C29" s="34"/>
      <c r="D29" s="33" t="s">
        <v>92</v>
      </c>
      <c r="E29" s="35">
        <v>500</v>
      </c>
      <c r="F29" s="36"/>
      <c r="G29" s="48"/>
      <c r="H29" s="35"/>
      <c r="I29" s="35"/>
      <c r="J29" s="36"/>
      <c r="K29" s="36"/>
      <c r="L29" s="49">
        <f>+טבלה5[[#This Row],[עלות לחניה לפני מע"מ והצמדות]]*טבלה5[[#This Row],[מס'' חניות שכורות (כמות מנויים)]]</f>
        <v>0</v>
      </c>
      <c r="M29" s="33"/>
      <c r="N29" s="15" t="s">
        <v>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>
      <selection activeCell="F3" sqref="F3"/>
    </sheetView>
  </sheetViews>
  <sheetFormatPr defaultRowHeight="14" x14ac:dyDescent="0.3"/>
  <cols>
    <col min="2" max="2" width="11.83203125" customWidth="1"/>
    <col min="3" max="3" width="12.5" customWidth="1"/>
    <col min="4" max="4" width="13.58203125" customWidth="1"/>
    <col min="5" max="5" width="20.83203125" style="4" customWidth="1"/>
    <col min="6" max="6" width="9.83203125" customWidth="1"/>
    <col min="7" max="7" width="12.58203125" customWidth="1"/>
    <col min="8" max="8" width="13.33203125" style="4" customWidth="1"/>
    <col min="9" max="9" width="12.5" style="4" customWidth="1"/>
    <col min="10" max="10" width="9.33203125" customWidth="1"/>
    <col min="11" max="11" width="9.25" customWidth="1"/>
    <col min="12" max="12" width="13.58203125" customWidth="1"/>
    <col min="13" max="13" width="14.08203125" customWidth="1"/>
    <col min="14" max="14" width="35.5" customWidth="1"/>
  </cols>
  <sheetData>
    <row r="1" spans="1:14" ht="56.5" customHeight="1" x14ac:dyDescent="0.3">
      <c r="A1" s="1" t="s">
        <v>0</v>
      </c>
      <c r="B1" s="1" t="s">
        <v>3</v>
      </c>
      <c r="C1" s="1" t="s">
        <v>1</v>
      </c>
      <c r="D1" s="1" t="s">
        <v>2</v>
      </c>
      <c r="E1" s="3" t="s">
        <v>4</v>
      </c>
      <c r="F1" s="2" t="s">
        <v>24</v>
      </c>
      <c r="G1" s="2" t="s">
        <v>17</v>
      </c>
      <c r="H1" s="3" t="s">
        <v>15</v>
      </c>
      <c r="I1" s="3" t="s">
        <v>6</v>
      </c>
      <c r="J1" s="2" t="s">
        <v>44</v>
      </c>
      <c r="K1" s="2" t="s">
        <v>45</v>
      </c>
      <c r="L1" s="2" t="s">
        <v>46</v>
      </c>
      <c r="M1" s="2" t="s">
        <v>5</v>
      </c>
      <c r="N1" s="1" t="s">
        <v>16</v>
      </c>
    </row>
    <row r="2" spans="1:14" ht="59.15" customHeight="1" x14ac:dyDescent="0.3">
      <c r="A2" s="14" t="s">
        <v>7</v>
      </c>
      <c r="B2" s="14" t="s">
        <v>19</v>
      </c>
      <c r="C2" s="14" t="s">
        <v>43</v>
      </c>
      <c r="D2" s="15" t="s">
        <v>20</v>
      </c>
      <c r="E2" s="16">
        <v>1</v>
      </c>
      <c r="F2" s="17">
        <v>450</v>
      </c>
      <c r="G2" s="18">
        <v>12</v>
      </c>
      <c r="H2" s="16"/>
      <c r="I2" s="16"/>
      <c r="J2" s="17"/>
      <c r="K2" s="17"/>
      <c r="L2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5400</v>
      </c>
      <c r="M2" s="15" t="s">
        <v>14</v>
      </c>
      <c r="N2" s="15"/>
    </row>
    <row r="3" spans="1:14" ht="42" x14ac:dyDescent="0.3">
      <c r="A3" s="14" t="s">
        <v>7</v>
      </c>
      <c r="B3" s="14" t="s">
        <v>22</v>
      </c>
      <c r="C3" s="14" t="s">
        <v>21</v>
      </c>
      <c r="D3" s="14" t="s">
        <v>23</v>
      </c>
      <c r="E3" s="16">
        <v>55</v>
      </c>
      <c r="F3" s="17">
        <v>224</v>
      </c>
      <c r="G3" s="18">
        <v>12</v>
      </c>
      <c r="H3" s="16"/>
      <c r="I3" s="16">
        <v>500</v>
      </c>
      <c r="J3" s="17"/>
      <c r="K3" s="17">
        <v>8.5500000000000007</v>
      </c>
      <c r="L3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152115</v>
      </c>
      <c r="M3" s="14" t="s">
        <v>25</v>
      </c>
      <c r="N3" s="15"/>
    </row>
    <row r="4" spans="1:14" ht="56" x14ac:dyDescent="0.3">
      <c r="A4" s="14" t="s">
        <v>7</v>
      </c>
      <c r="B4" s="14" t="s">
        <v>28</v>
      </c>
      <c r="C4" s="14" t="s">
        <v>26</v>
      </c>
      <c r="D4" s="15" t="s">
        <v>27</v>
      </c>
      <c r="E4" s="16">
        <v>19</v>
      </c>
      <c r="F4" s="50">
        <v>600</v>
      </c>
      <c r="G4" s="18">
        <v>12</v>
      </c>
      <c r="H4" s="16">
        <v>650</v>
      </c>
      <c r="I4" s="16"/>
      <c r="J4" s="17">
        <v>30</v>
      </c>
      <c r="K4" s="17"/>
      <c r="L4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156300</v>
      </c>
      <c r="M4" s="14" t="s">
        <v>25</v>
      </c>
      <c r="N4" s="14" t="s">
        <v>94</v>
      </c>
    </row>
    <row r="5" spans="1:14" ht="28" x14ac:dyDescent="0.3">
      <c r="A5" s="14" t="s">
        <v>7</v>
      </c>
      <c r="B5" s="14" t="s">
        <v>30</v>
      </c>
      <c r="C5" s="14" t="s">
        <v>29</v>
      </c>
      <c r="D5" s="15" t="s">
        <v>31</v>
      </c>
      <c r="E5" s="16">
        <v>5</v>
      </c>
      <c r="F5" s="17">
        <v>985</v>
      </c>
      <c r="G5" s="18">
        <v>12</v>
      </c>
      <c r="H5" s="16"/>
      <c r="I5" s="16"/>
      <c r="J5" s="17"/>
      <c r="K5" s="17"/>
      <c r="L5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59100</v>
      </c>
      <c r="M5" s="15" t="s">
        <v>14</v>
      </c>
      <c r="N5" s="15"/>
    </row>
    <row r="6" spans="1:14" ht="28" x14ac:dyDescent="0.3">
      <c r="A6" s="14" t="s">
        <v>7</v>
      </c>
      <c r="B6" s="14" t="s">
        <v>33</v>
      </c>
      <c r="C6" s="14" t="s">
        <v>32</v>
      </c>
      <c r="D6" s="15" t="s">
        <v>34</v>
      </c>
      <c r="E6" s="16">
        <v>1</v>
      </c>
      <c r="F6" s="17">
        <v>850</v>
      </c>
      <c r="G6" s="18">
        <v>12</v>
      </c>
      <c r="H6" s="16"/>
      <c r="I6" s="16"/>
      <c r="J6" s="17"/>
      <c r="K6" s="17"/>
      <c r="L6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10200</v>
      </c>
      <c r="M6" s="15" t="s">
        <v>14</v>
      </c>
      <c r="N6" s="15"/>
    </row>
    <row r="7" spans="1:14" x14ac:dyDescent="0.3">
      <c r="A7" s="14" t="s">
        <v>7</v>
      </c>
      <c r="B7" s="14" t="s">
        <v>37</v>
      </c>
      <c r="C7" s="14" t="s">
        <v>35</v>
      </c>
      <c r="D7" s="15" t="s">
        <v>36</v>
      </c>
      <c r="E7" s="16">
        <v>1</v>
      </c>
      <c r="F7" s="17">
        <v>600</v>
      </c>
      <c r="G7" s="18">
        <v>12</v>
      </c>
      <c r="H7" s="16"/>
      <c r="I7" s="16"/>
      <c r="J7" s="17"/>
      <c r="K7" s="17"/>
      <c r="L7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7200</v>
      </c>
      <c r="M7" s="15" t="s">
        <v>14</v>
      </c>
      <c r="N7" s="15"/>
    </row>
    <row r="8" spans="1:14" ht="42" x14ac:dyDescent="0.3">
      <c r="A8" s="14" t="s">
        <v>7</v>
      </c>
      <c r="B8" s="14" t="s">
        <v>39</v>
      </c>
      <c r="C8" s="14" t="s">
        <v>38</v>
      </c>
      <c r="D8" s="15" t="s">
        <v>40</v>
      </c>
      <c r="E8" s="51" t="s">
        <v>96</v>
      </c>
      <c r="F8" s="17">
        <v>564</v>
      </c>
      <c r="G8" s="18">
        <v>12</v>
      </c>
      <c r="H8" s="16"/>
      <c r="I8" s="16">
        <v>300</v>
      </c>
      <c r="J8" s="17"/>
      <c r="K8" s="17">
        <v>10</v>
      </c>
      <c r="L8" s="17">
        <f>25164+55680+300*10</f>
        <v>83844</v>
      </c>
      <c r="M8" s="14" t="s">
        <v>25</v>
      </c>
      <c r="N8" s="14" t="s">
        <v>95</v>
      </c>
    </row>
    <row r="9" spans="1:14" ht="70" x14ac:dyDescent="0.3">
      <c r="A9" s="14" t="s">
        <v>7</v>
      </c>
      <c r="B9" s="14" t="s">
        <v>42</v>
      </c>
      <c r="C9" s="14" t="s">
        <v>41</v>
      </c>
      <c r="D9" s="15" t="s">
        <v>12</v>
      </c>
      <c r="E9" s="16">
        <v>60</v>
      </c>
      <c r="F9" s="17">
        <v>950</v>
      </c>
      <c r="G9" s="18">
        <v>12</v>
      </c>
      <c r="H9" s="16">
        <v>480</v>
      </c>
      <c r="I9" s="16">
        <v>840</v>
      </c>
      <c r="J9" s="17">
        <v>71.8</v>
      </c>
      <c r="K9" s="17">
        <v>11.97</v>
      </c>
      <c r="L9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728518.8</v>
      </c>
      <c r="M9" s="14" t="s">
        <v>25</v>
      </c>
      <c r="N9" s="15"/>
    </row>
    <row r="10" spans="1:14" ht="28" x14ac:dyDescent="0.3">
      <c r="A10" s="14" t="s">
        <v>7</v>
      </c>
      <c r="B10" s="14" t="s">
        <v>47</v>
      </c>
      <c r="C10" s="14" t="s">
        <v>49</v>
      </c>
      <c r="D10" s="15" t="s">
        <v>53</v>
      </c>
      <c r="E10" s="16">
        <f>11*23</f>
        <v>253</v>
      </c>
      <c r="F10" s="17">
        <v>26</v>
      </c>
      <c r="G10" s="18">
        <v>12</v>
      </c>
      <c r="H10" s="16"/>
      <c r="I10" s="16"/>
      <c r="J10" s="17"/>
      <c r="K10" s="17"/>
      <c r="L10" s="17">
        <f>SUM(טבלה52[[#This Row],[מס'' חניות שכורות (כמות מנויים)]]*טבלה52[[#This Row],[תקופת השימוש בחניון בחודשים]]*טבלה52[[#This Row],[עלות לחניה לפני מע"מ והצמדות]])+טבלה52[[#This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78936</v>
      </c>
      <c r="M10" s="15" t="s">
        <v>14</v>
      </c>
      <c r="N10" s="14" t="s">
        <v>50</v>
      </c>
    </row>
    <row r="11" spans="1:14" ht="57" customHeight="1" x14ac:dyDescent="0.3">
      <c r="A11" s="14" t="s">
        <v>7</v>
      </c>
      <c r="B11" s="14" t="s">
        <v>51</v>
      </c>
      <c r="C11" s="14" t="s">
        <v>52</v>
      </c>
      <c r="D11" s="15" t="s">
        <v>48</v>
      </c>
      <c r="E11" s="16">
        <v>1325</v>
      </c>
      <c r="F11" s="17">
        <v>26</v>
      </c>
      <c r="G11" s="18"/>
      <c r="H11" s="16"/>
      <c r="I11" s="16"/>
      <c r="J11" s="17"/>
      <c r="K11" s="17"/>
      <c r="L11" s="17">
        <f>+טבלה52[[#This Row],[עלות לחניה לפני מע"מ והצמדות]]*טבלה52[[#This Row],[מס'' חניות שכורות (כמות מנויים)]]</f>
        <v>34450</v>
      </c>
      <c r="M11" s="14" t="s">
        <v>66</v>
      </c>
      <c r="N11" s="14" t="s">
        <v>54</v>
      </c>
    </row>
    <row r="12" spans="1:14" ht="42" x14ac:dyDescent="0.3">
      <c r="A12" s="15" t="s">
        <v>7</v>
      </c>
      <c r="B12" s="14" t="s">
        <v>56</v>
      </c>
      <c r="C12" s="14" t="s">
        <v>55</v>
      </c>
      <c r="D12" s="15" t="s">
        <v>20</v>
      </c>
      <c r="E12" s="16">
        <f>+(15+8)*17</f>
        <v>391</v>
      </c>
      <c r="F12" s="17">
        <v>39.28</v>
      </c>
      <c r="G12" s="18">
        <v>12</v>
      </c>
      <c r="H12" s="16">
        <v>1070</v>
      </c>
      <c r="I12" s="16"/>
      <c r="J12" s="17">
        <v>76.92</v>
      </c>
      <c r="K12" s="17"/>
      <c r="L12" s="17">
        <f>+טבלה52[[#This Row],[עלות לחניה לפני מע"מ והצמדות]]*טבלה52[[#This Row],[מס'' חניות שכורות (כמות מנויים)]]*טבלה52[[#This Row],[תקופת השימוש בחניון בחודשים]]+טבלה52[[#This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266606.16000000003</v>
      </c>
      <c r="M12" s="14" t="s">
        <v>25</v>
      </c>
      <c r="N12" s="19" t="s">
        <v>97</v>
      </c>
    </row>
    <row r="13" spans="1:14" ht="28" x14ac:dyDescent="0.3">
      <c r="A13" s="15" t="s">
        <v>7</v>
      </c>
      <c r="B13" s="14" t="s">
        <v>57</v>
      </c>
      <c r="C13" s="14" t="s">
        <v>55</v>
      </c>
      <c r="D13" s="15" t="s">
        <v>20</v>
      </c>
      <c r="E13" s="16">
        <v>33</v>
      </c>
      <c r="F13" s="17">
        <v>420</v>
      </c>
      <c r="G13" s="18">
        <v>12</v>
      </c>
      <c r="H13" s="16">
        <v>596</v>
      </c>
      <c r="I13" s="16"/>
      <c r="J13" s="17">
        <v>76.92</v>
      </c>
      <c r="K13" s="17"/>
      <c r="L13" s="17">
        <f>+טבלה52[[#This Row],[עלות לחניה לפני מע"מ והצמדות]]*טבלה52[[#This Row],[מס'' חניות שכורות (כמות מנויים)]]*טבלה52[[#This Row],[תקופת השימוש בחניון בחודשים]]+טבלה52[[#This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212164.32</v>
      </c>
      <c r="M13" s="14" t="s">
        <v>25</v>
      </c>
      <c r="N13" s="15" t="s">
        <v>64</v>
      </c>
    </row>
    <row r="14" spans="1:14" ht="45.75" customHeight="1" x14ac:dyDescent="0.3">
      <c r="A14" s="15" t="s">
        <v>7</v>
      </c>
      <c r="B14" s="14" t="s">
        <v>58</v>
      </c>
      <c r="C14" s="14" t="s">
        <v>60</v>
      </c>
      <c r="D14" s="15" t="s">
        <v>59</v>
      </c>
      <c r="E14" s="16">
        <v>15</v>
      </c>
      <c r="F14" s="17"/>
      <c r="G14" s="18">
        <v>12</v>
      </c>
      <c r="H14" s="16"/>
      <c r="I14" s="16"/>
      <c r="J14" s="17"/>
      <c r="K14" s="17"/>
      <c r="L14" s="17">
        <v>77109.600000000006</v>
      </c>
      <c r="M14" s="14" t="s">
        <v>25</v>
      </c>
      <c r="N14" s="20" t="s">
        <v>65</v>
      </c>
    </row>
    <row r="15" spans="1:14" x14ac:dyDescent="0.3">
      <c r="A15" s="15" t="s">
        <v>7</v>
      </c>
      <c r="B15" s="14" t="s">
        <v>61</v>
      </c>
      <c r="C15" s="14" t="s">
        <v>61</v>
      </c>
      <c r="D15" s="14" t="s">
        <v>62</v>
      </c>
      <c r="E15" s="16">
        <v>320</v>
      </c>
      <c r="F15" s="17"/>
      <c r="G15" s="21"/>
      <c r="H15" s="16"/>
      <c r="I15" s="16"/>
      <c r="J15" s="17"/>
      <c r="K15" s="17"/>
      <c r="L15" s="22">
        <f>+טבלה52[[#This Row],[עלות לחניה לפני מע"מ והצמדות]]*טבלה52[[#This Row],[מס'' חניות שכורות (כמות מנויים)]]</f>
        <v>0</v>
      </c>
      <c r="M15" s="15"/>
      <c r="N15" s="15" t="s">
        <v>67</v>
      </c>
    </row>
    <row r="16" spans="1:14" x14ac:dyDescent="0.3">
      <c r="A16" s="5"/>
      <c r="B16" s="5"/>
      <c r="C16" s="5"/>
      <c r="D16" s="5"/>
      <c r="E16" s="6"/>
      <c r="F16" s="7"/>
      <c r="G16" s="8"/>
      <c r="H16" s="6"/>
      <c r="I16" s="6"/>
      <c r="J16" s="7"/>
      <c r="K16" s="7"/>
      <c r="L16" s="9"/>
      <c r="M16" s="5"/>
      <c r="N16" s="5"/>
    </row>
    <row r="17" spans="1:14" ht="42" x14ac:dyDescent="0.3">
      <c r="A17" s="23" t="s">
        <v>68</v>
      </c>
      <c r="B17" s="24" t="s">
        <v>69</v>
      </c>
      <c r="C17" s="24" t="s">
        <v>70</v>
      </c>
      <c r="D17" s="23" t="s">
        <v>71</v>
      </c>
      <c r="E17" s="25">
        <v>53</v>
      </c>
      <c r="F17" s="26">
        <v>580</v>
      </c>
      <c r="G17" s="27">
        <v>12</v>
      </c>
      <c r="H17" s="25"/>
      <c r="I17" s="25">
        <v>5000</v>
      </c>
      <c r="J17" s="26"/>
      <c r="K17" s="26">
        <v>16</v>
      </c>
      <c r="L17" s="26">
        <f>+טבלה52[[#This Row],[עלות לחניה לפני מע"מ והצמדות]]*טבלה52[[#This Row],[מס'' חניות שכורות (כמות מנויים)]]*טבלה52[[#This Row],[תקופת השימוש בחניון בחודשים]]+טבלה52[[#This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448880</v>
      </c>
      <c r="M17" s="24" t="s">
        <v>25</v>
      </c>
      <c r="N17" s="23"/>
    </row>
    <row r="18" spans="1:14" ht="42" x14ac:dyDescent="0.3">
      <c r="A18" s="23" t="s">
        <v>68</v>
      </c>
      <c r="B18" s="24" t="s">
        <v>72</v>
      </c>
      <c r="C18" s="24" t="s">
        <v>73</v>
      </c>
      <c r="D18" s="23" t="s">
        <v>74</v>
      </c>
      <c r="E18" s="25">
        <v>7</v>
      </c>
      <c r="F18" s="26">
        <v>845</v>
      </c>
      <c r="G18" s="27">
        <v>12</v>
      </c>
      <c r="H18" s="25">
        <v>100</v>
      </c>
      <c r="I18" s="25">
        <v>100</v>
      </c>
      <c r="J18" s="26">
        <v>66.67</v>
      </c>
      <c r="K18" s="26">
        <v>16.670000000000002</v>
      </c>
      <c r="L18" s="26">
        <f>+טבלה52[[#This Row],[עלות לחניה לפני מע"מ והצמדות]]*טבלה52[[#This Row],[מס'' חניות שכורות (כמות מנויים)]]*טבלה52[[#This Row],[תקופת השימוש בחניון בחודשים]]+טבלה52[[#This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79314</v>
      </c>
      <c r="M18" s="24" t="s">
        <v>25</v>
      </c>
      <c r="N18" s="23"/>
    </row>
    <row r="19" spans="1:14" ht="70" x14ac:dyDescent="0.3">
      <c r="A19" s="23" t="s">
        <v>68</v>
      </c>
      <c r="B19" s="24" t="s">
        <v>77</v>
      </c>
      <c r="C19" s="24" t="s">
        <v>75</v>
      </c>
      <c r="D19" s="23" t="s">
        <v>76</v>
      </c>
      <c r="E19" s="25">
        <v>16</v>
      </c>
      <c r="F19" s="26">
        <v>29.75</v>
      </c>
      <c r="G19" s="27"/>
      <c r="H19" s="25">
        <v>450</v>
      </c>
      <c r="I19" s="25"/>
      <c r="J19" s="26">
        <v>29.75</v>
      </c>
      <c r="K19" s="26"/>
      <c r="L19" s="26">
        <f>(16*17*12*29.75)+טבלה52[[#This Row],[עלות שובר יומי לפני מע"מ]]*טבלה52[[#This Row],[כמות שוברי חניה יומיים]]</f>
        <v>110491.5</v>
      </c>
      <c r="M19" s="24" t="s">
        <v>25</v>
      </c>
      <c r="N19" s="24" t="s">
        <v>78</v>
      </c>
    </row>
    <row r="20" spans="1:14" x14ac:dyDescent="0.3">
      <c r="A20" s="10"/>
      <c r="B20" s="5"/>
      <c r="C20" s="5"/>
      <c r="D20" s="10"/>
      <c r="E20" s="11"/>
      <c r="F20" s="12"/>
      <c r="G20" s="13"/>
      <c r="H20" s="11"/>
      <c r="I20" s="11"/>
      <c r="J20" s="12"/>
      <c r="K20" s="12"/>
      <c r="L20" s="12">
        <f>+טבלה52[[#This Row],[עלות לחניה לפני מע"מ והצמדות]]*טבלה52[[#This Row],[מס'' חניות שכורות (כמות מנויים)]]</f>
        <v>0</v>
      </c>
      <c r="M20" s="10"/>
      <c r="N20" s="10"/>
    </row>
    <row r="21" spans="1:14" ht="154" x14ac:dyDescent="0.3">
      <c r="A21" s="28" t="s">
        <v>9</v>
      </c>
      <c r="B21" s="29" t="s">
        <v>82</v>
      </c>
      <c r="C21" s="29" t="s">
        <v>29</v>
      </c>
      <c r="D21" s="28" t="s">
        <v>86</v>
      </c>
      <c r="E21" s="30"/>
      <c r="F21" s="31"/>
      <c r="G21" s="32">
        <v>12</v>
      </c>
      <c r="H21" s="30"/>
      <c r="I21" s="30">
        <v>132</v>
      </c>
      <c r="J21" s="31">
        <v>29.49</v>
      </c>
      <c r="K21" s="31"/>
      <c r="L21" s="31">
        <f>(5*350*12)+(10*23*12*29.49)+72*29.49+60*29.49</f>
        <v>106285.07999999999</v>
      </c>
      <c r="M21" s="28"/>
      <c r="N21" s="29" t="s">
        <v>104</v>
      </c>
    </row>
    <row r="22" spans="1:14" x14ac:dyDescent="0.3">
      <c r="A22" s="10"/>
      <c r="B22" s="5"/>
      <c r="C22" s="5"/>
      <c r="D22" s="10"/>
      <c r="E22" s="11"/>
      <c r="F22" s="12"/>
      <c r="G22" s="13"/>
      <c r="H22" s="11"/>
      <c r="I22" s="11"/>
      <c r="J22" s="12"/>
      <c r="K22" s="12"/>
      <c r="L22" s="12"/>
      <c r="M22" s="10"/>
      <c r="N22" s="10"/>
    </row>
    <row r="23" spans="1:14" ht="42" x14ac:dyDescent="0.3">
      <c r="A23" s="38" t="s">
        <v>10</v>
      </c>
      <c r="B23" s="39" t="s">
        <v>83</v>
      </c>
      <c r="C23" s="39"/>
      <c r="D23" s="38"/>
      <c r="E23" s="40"/>
      <c r="F23" s="41"/>
      <c r="G23" s="42"/>
      <c r="H23" s="40"/>
      <c r="I23" s="40"/>
      <c r="J23" s="41"/>
      <c r="K23" s="41"/>
      <c r="L23" s="41">
        <f>+טבלה52[[#This Row],[עלות לחניה לפני מע"מ והצמדות]]*טבלה52[[#This Row],[מס'' חניות שכורות (כמות מנויים)]]</f>
        <v>0</v>
      </c>
      <c r="M23" s="38"/>
      <c r="N23" s="15" t="s">
        <v>88</v>
      </c>
    </row>
    <row r="24" spans="1:14" x14ac:dyDescent="0.3">
      <c r="A24" s="10"/>
      <c r="B24" s="5"/>
      <c r="C24" s="5"/>
      <c r="D24" s="10"/>
      <c r="E24" s="11"/>
      <c r="F24" s="12"/>
      <c r="G24" s="13"/>
      <c r="H24" s="11"/>
      <c r="I24" s="11"/>
      <c r="J24" s="12"/>
      <c r="K24" s="12"/>
      <c r="L24" s="12">
        <f>+טבלה52[[#This Row],[עלות לחניה לפני מע"מ והצמדות]]*טבלה52[[#This Row],[מס'' חניות שכורות (כמות מנויים)]]</f>
        <v>0</v>
      </c>
      <c r="M24" s="10"/>
      <c r="N24" s="10"/>
    </row>
    <row r="25" spans="1:14" ht="42" x14ac:dyDescent="0.3">
      <c r="A25" s="43" t="s">
        <v>11</v>
      </c>
      <c r="B25" s="44" t="s">
        <v>79</v>
      </c>
      <c r="C25" s="44" t="s">
        <v>80</v>
      </c>
      <c r="D25" s="43" t="s">
        <v>81</v>
      </c>
      <c r="E25" s="45">
        <v>16</v>
      </c>
      <c r="F25" s="46">
        <v>18.8</v>
      </c>
      <c r="G25" s="47"/>
      <c r="H25" s="45"/>
      <c r="I25" s="45">
        <v>16</v>
      </c>
      <c r="J25" s="46"/>
      <c r="K25" s="46">
        <v>4.7</v>
      </c>
      <c r="L25" s="46">
        <f>2000*18.8+16*4.7</f>
        <v>37675.199999999997</v>
      </c>
      <c r="M25" s="43"/>
      <c r="N25" s="44" t="s">
        <v>103</v>
      </c>
    </row>
    <row r="26" spans="1:14" x14ac:dyDescent="0.3">
      <c r="A26" s="10"/>
      <c r="B26" s="5"/>
      <c r="C26" s="5"/>
      <c r="D26" s="10"/>
      <c r="E26" s="11"/>
      <c r="F26" s="12"/>
      <c r="G26" s="13"/>
      <c r="H26" s="11"/>
      <c r="I26" s="11"/>
      <c r="J26" s="12"/>
      <c r="K26" s="12"/>
      <c r="L26" s="12">
        <f>+טבלה52[[#This Row],[עלות לחניה לפני מע"מ והצמדות]]*טבלה52[[#This Row],[מס'' חניות שכורות (כמות מנויים)]]</f>
        <v>0</v>
      </c>
      <c r="M26" s="10"/>
      <c r="N26" s="10"/>
    </row>
    <row r="27" spans="1:14" ht="42" x14ac:dyDescent="0.3">
      <c r="A27" s="33" t="s">
        <v>8</v>
      </c>
      <c r="B27" s="34" t="s">
        <v>84</v>
      </c>
      <c r="C27" s="34" t="s">
        <v>90</v>
      </c>
      <c r="D27" s="33" t="s">
        <v>91</v>
      </c>
      <c r="E27" s="35">
        <v>13</v>
      </c>
      <c r="F27" s="36">
        <v>420</v>
      </c>
      <c r="G27" s="37">
        <v>12</v>
      </c>
      <c r="H27" s="35">
        <v>240</v>
      </c>
      <c r="I27" s="35">
        <v>50</v>
      </c>
      <c r="J27" s="36">
        <v>25</v>
      </c>
      <c r="K27" s="36">
        <v>8</v>
      </c>
      <c r="L27" s="36">
        <f>+טבלה52[[#This Row],[עלות לחניה לפני מע"מ והצמדות]]*טבלה52[[#This Row],[מס'' חניות שכורות (כמות מנויים)]]*טבלה52[[#This Row],[תקופת השימוש בחניון בחודשים]]+טבלה52[[#This Row],[כמות שוברי חניה יומיים]]*טבלה52[[#This Row],[עלות שובר יומי לפני מע"מ]]+טבלה52[[#This Row],[כמות שוברי חניה שעתיים]]*טבלה52[[#This Row],[עלות שובר שעתי לפני מע"מ]]</f>
        <v>71920</v>
      </c>
      <c r="M27" s="33"/>
      <c r="N27" s="34" t="s">
        <v>89</v>
      </c>
    </row>
    <row r="28" spans="1:14" x14ac:dyDescent="0.3">
      <c r="A28" s="33" t="s">
        <v>8</v>
      </c>
      <c r="B28" s="34" t="s">
        <v>85</v>
      </c>
      <c r="C28" s="34"/>
      <c r="D28" s="33" t="s">
        <v>92</v>
      </c>
      <c r="E28" s="35">
        <v>500</v>
      </c>
      <c r="F28" s="36"/>
      <c r="G28" s="48"/>
      <c r="H28" s="35"/>
      <c r="I28" s="35"/>
      <c r="J28" s="36"/>
      <c r="K28" s="36"/>
      <c r="L28" s="49">
        <f>+טבלה52[[#This Row],[עלות לחניה לפני מע"מ והצמדות]]*טבלה52[[#This Row],[מס'' חניות שכורות (כמות מנויים)]]</f>
        <v>0</v>
      </c>
      <c r="M28" s="33"/>
      <c r="N28" s="15" t="s">
        <v>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>
      <selection activeCell="G2" sqref="G2"/>
    </sheetView>
  </sheetViews>
  <sheetFormatPr defaultRowHeight="14" x14ac:dyDescent="0.3"/>
  <cols>
    <col min="2" max="2" width="11.83203125" customWidth="1"/>
    <col min="3" max="3" width="12.5" customWidth="1"/>
    <col min="4" max="4" width="13.58203125" customWidth="1"/>
    <col min="5" max="5" width="20.83203125" style="4" customWidth="1"/>
    <col min="6" max="6" width="9.83203125" customWidth="1"/>
    <col min="7" max="7" width="12.58203125" customWidth="1"/>
    <col min="8" max="8" width="13.33203125" style="4" customWidth="1"/>
    <col min="9" max="9" width="12.5" style="4" customWidth="1"/>
    <col min="10" max="10" width="9.33203125" customWidth="1"/>
    <col min="11" max="11" width="9.25" customWidth="1"/>
    <col min="12" max="12" width="13.58203125" customWidth="1"/>
    <col min="13" max="13" width="14.08203125" customWidth="1"/>
    <col min="14" max="14" width="35.5" customWidth="1"/>
  </cols>
  <sheetData>
    <row r="1" spans="1:14" ht="56.5" customHeight="1" x14ac:dyDescent="0.3">
      <c r="A1" s="1" t="s">
        <v>0</v>
      </c>
      <c r="B1" s="1" t="s">
        <v>3</v>
      </c>
      <c r="C1" s="1" t="s">
        <v>1</v>
      </c>
      <c r="D1" s="1" t="s">
        <v>2</v>
      </c>
      <c r="E1" s="3" t="s">
        <v>4</v>
      </c>
      <c r="F1" s="2" t="s">
        <v>24</v>
      </c>
      <c r="G1" s="2" t="s">
        <v>17</v>
      </c>
      <c r="H1" s="3" t="s">
        <v>15</v>
      </c>
      <c r="I1" s="3" t="s">
        <v>6</v>
      </c>
      <c r="J1" s="2" t="s">
        <v>44</v>
      </c>
      <c r="K1" s="2" t="s">
        <v>45</v>
      </c>
      <c r="L1" s="2" t="s">
        <v>46</v>
      </c>
      <c r="M1" s="2" t="s">
        <v>5</v>
      </c>
      <c r="N1" s="1" t="s">
        <v>16</v>
      </c>
    </row>
    <row r="2" spans="1:14" ht="59.15" customHeight="1" x14ac:dyDescent="0.3">
      <c r="A2" s="14" t="s">
        <v>7</v>
      </c>
      <c r="B2" s="14" t="s">
        <v>19</v>
      </c>
      <c r="C2" s="14" t="s">
        <v>43</v>
      </c>
      <c r="D2" s="15" t="s">
        <v>20</v>
      </c>
      <c r="E2" s="16">
        <v>1</v>
      </c>
      <c r="F2" s="17">
        <v>450</v>
      </c>
      <c r="G2" s="18">
        <v>12</v>
      </c>
      <c r="H2" s="16"/>
      <c r="I2" s="16"/>
      <c r="J2" s="17"/>
      <c r="K2" s="17"/>
      <c r="L2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5400</v>
      </c>
      <c r="M2" s="15" t="s">
        <v>14</v>
      </c>
      <c r="N2" s="15"/>
    </row>
    <row r="3" spans="1:14" ht="42" x14ac:dyDescent="0.3">
      <c r="A3" s="14" t="s">
        <v>7</v>
      </c>
      <c r="B3" s="14" t="s">
        <v>22</v>
      </c>
      <c r="C3" s="14" t="s">
        <v>21</v>
      </c>
      <c r="D3" s="14" t="s">
        <v>23</v>
      </c>
      <c r="E3" s="16">
        <v>55</v>
      </c>
      <c r="F3" s="17">
        <v>224</v>
      </c>
      <c r="G3" s="18">
        <v>12</v>
      </c>
      <c r="H3" s="16"/>
      <c r="I3" s="16">
        <v>360</v>
      </c>
      <c r="J3" s="17"/>
      <c r="K3" s="17">
        <v>8.5500000000000007</v>
      </c>
      <c r="L3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150918</v>
      </c>
      <c r="M3" s="14" t="s">
        <v>25</v>
      </c>
      <c r="N3" s="15"/>
    </row>
    <row r="4" spans="1:14" ht="56" x14ac:dyDescent="0.3">
      <c r="A4" s="14" t="s">
        <v>7</v>
      </c>
      <c r="B4" s="14" t="s">
        <v>28</v>
      </c>
      <c r="C4" s="14" t="s">
        <v>26</v>
      </c>
      <c r="D4" s="15" t="s">
        <v>27</v>
      </c>
      <c r="E4" s="16">
        <v>17</v>
      </c>
      <c r="F4" s="50">
        <v>600</v>
      </c>
      <c r="G4" s="18">
        <v>12</v>
      </c>
      <c r="H4" s="16">
        <v>650</v>
      </c>
      <c r="I4" s="16"/>
      <c r="J4" s="17">
        <v>30</v>
      </c>
      <c r="K4" s="17"/>
      <c r="L4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141900</v>
      </c>
      <c r="M4" s="14" t="s">
        <v>25</v>
      </c>
      <c r="N4" s="14" t="s">
        <v>98</v>
      </c>
    </row>
    <row r="5" spans="1:14" ht="28" x14ac:dyDescent="0.3">
      <c r="A5" s="14" t="s">
        <v>7</v>
      </c>
      <c r="B5" s="14" t="s">
        <v>30</v>
      </c>
      <c r="C5" s="14" t="s">
        <v>99</v>
      </c>
      <c r="D5" s="15" t="s">
        <v>100</v>
      </c>
      <c r="E5" s="16">
        <v>5</v>
      </c>
      <c r="F5" s="17">
        <v>800</v>
      </c>
      <c r="G5" s="18">
        <v>12</v>
      </c>
      <c r="H5" s="16"/>
      <c r="I5" s="16"/>
      <c r="J5" s="17"/>
      <c r="K5" s="17"/>
      <c r="L5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48000</v>
      </c>
      <c r="M5" s="15" t="s">
        <v>14</v>
      </c>
      <c r="N5" s="15"/>
    </row>
    <row r="6" spans="1:14" ht="28" x14ac:dyDescent="0.3">
      <c r="A6" s="14" t="s">
        <v>7</v>
      </c>
      <c r="B6" s="14" t="s">
        <v>33</v>
      </c>
      <c r="C6" s="14" t="s">
        <v>32</v>
      </c>
      <c r="D6" s="15" t="s">
        <v>34</v>
      </c>
      <c r="E6" s="16">
        <v>1</v>
      </c>
      <c r="F6" s="17">
        <v>925</v>
      </c>
      <c r="G6" s="18">
        <v>12</v>
      </c>
      <c r="H6" s="16"/>
      <c r="I6" s="16"/>
      <c r="J6" s="17"/>
      <c r="K6" s="17"/>
      <c r="L6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11100</v>
      </c>
      <c r="M6" s="15" t="s">
        <v>14</v>
      </c>
      <c r="N6" s="15"/>
    </row>
    <row r="7" spans="1:14" x14ac:dyDescent="0.3">
      <c r="A7" s="14" t="s">
        <v>7</v>
      </c>
      <c r="B7" s="14" t="s">
        <v>37</v>
      </c>
      <c r="C7" s="14" t="s">
        <v>35</v>
      </c>
      <c r="D7" s="15" t="s">
        <v>36</v>
      </c>
      <c r="E7" s="16">
        <v>1</v>
      </c>
      <c r="F7" s="17">
        <v>600</v>
      </c>
      <c r="G7" s="18">
        <v>12</v>
      </c>
      <c r="H7" s="16"/>
      <c r="I7" s="16"/>
      <c r="J7" s="17"/>
      <c r="K7" s="17"/>
      <c r="L7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7200</v>
      </c>
      <c r="M7" s="15" t="s">
        <v>14</v>
      </c>
      <c r="N7" s="15"/>
    </row>
    <row r="8" spans="1:14" ht="42" x14ac:dyDescent="0.3">
      <c r="A8" s="14" t="s">
        <v>7</v>
      </c>
      <c r="B8" s="14" t="s">
        <v>39</v>
      </c>
      <c r="C8" s="14" t="s">
        <v>38</v>
      </c>
      <c r="D8" s="15" t="s">
        <v>40</v>
      </c>
      <c r="E8" s="51">
        <v>16</v>
      </c>
      <c r="F8" s="17">
        <v>580</v>
      </c>
      <c r="G8" s="18">
        <v>12</v>
      </c>
      <c r="H8" s="16"/>
      <c r="I8" s="16">
        <v>300</v>
      </c>
      <c r="J8" s="17"/>
      <c r="K8" s="17">
        <v>10</v>
      </c>
      <c r="L8" s="17">
        <f>SUM(טבלה523[[#This Row],[מס'' חניות שכורות (כמות מנויים)]]*טבלה523[[#This Row],[עלות לחניה לפני מע"מ והצמדות]]*טבלה523[[#This Row],[תקופת השימוש בחניון בחודשים]]+טבלה523[[#This Row],[כמות שוברי חניה שעתיים]]*טבלה523[[#This Row],[עלות שובר שעתי לפני מע"מ]])</f>
        <v>114360</v>
      </c>
      <c r="M8" s="14" t="s">
        <v>25</v>
      </c>
      <c r="N8" s="14" t="s">
        <v>101</v>
      </c>
    </row>
    <row r="9" spans="1:14" ht="70" x14ac:dyDescent="0.3">
      <c r="A9" s="14" t="s">
        <v>7</v>
      </c>
      <c r="B9" s="14" t="s">
        <v>42</v>
      </c>
      <c r="C9" s="14" t="s">
        <v>41</v>
      </c>
      <c r="D9" s="15" t="s">
        <v>12</v>
      </c>
      <c r="E9" s="16">
        <v>60</v>
      </c>
      <c r="F9" s="17">
        <v>950</v>
      </c>
      <c r="G9" s="18">
        <v>12</v>
      </c>
      <c r="H9" s="16">
        <v>480</v>
      </c>
      <c r="I9" s="16">
        <v>840</v>
      </c>
      <c r="J9" s="17">
        <v>71.8</v>
      </c>
      <c r="K9" s="17">
        <v>11.97</v>
      </c>
      <c r="L9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728518.8</v>
      </c>
      <c r="M9" s="14" t="s">
        <v>25</v>
      </c>
      <c r="N9" s="15"/>
    </row>
    <row r="10" spans="1:14" ht="28" x14ac:dyDescent="0.3">
      <c r="A10" s="14" t="s">
        <v>7</v>
      </c>
      <c r="B10" s="14" t="s">
        <v>47</v>
      </c>
      <c r="C10" s="14" t="s">
        <v>49</v>
      </c>
      <c r="D10" s="15" t="s">
        <v>53</v>
      </c>
      <c r="E10" s="16">
        <f>11*23</f>
        <v>253</v>
      </c>
      <c r="F10" s="17">
        <v>26</v>
      </c>
      <c r="G10" s="18">
        <v>12</v>
      </c>
      <c r="H10" s="16"/>
      <c r="I10" s="16"/>
      <c r="J10" s="17"/>
      <c r="K10" s="17"/>
      <c r="L10" s="17">
        <f>SUM(טבלה523[[#This Row],[מס'' חניות שכורות (כמות מנויים)]]*טבלה523[[#This Row],[תקופת השימוש בחניון בחודשים]]*טבלה523[[#This Row],[עלות לחניה לפני מע"מ והצמדות]])+טבלה523[[#This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78936</v>
      </c>
      <c r="M10" s="15" t="s">
        <v>14</v>
      </c>
      <c r="N10" s="14" t="s">
        <v>50</v>
      </c>
    </row>
    <row r="11" spans="1:14" ht="57" customHeight="1" x14ac:dyDescent="0.3">
      <c r="A11" s="14" t="s">
        <v>7</v>
      </c>
      <c r="B11" s="14" t="s">
        <v>51</v>
      </c>
      <c r="C11" s="14" t="s">
        <v>52</v>
      </c>
      <c r="D11" s="15" t="s">
        <v>48</v>
      </c>
      <c r="E11" s="16">
        <v>1800</v>
      </c>
      <c r="F11" s="17">
        <v>26</v>
      </c>
      <c r="G11" s="18"/>
      <c r="H11" s="16"/>
      <c r="I11" s="16"/>
      <c r="J11" s="17"/>
      <c r="K11" s="17"/>
      <c r="L11" s="17">
        <f>+טבלה523[[#This Row],[עלות לחניה לפני מע"מ והצמדות]]*טבלה523[[#This Row],[מס'' חניות שכורות (כמות מנויים)]]</f>
        <v>46800</v>
      </c>
      <c r="M11" s="14" t="s">
        <v>66</v>
      </c>
      <c r="N11" s="14" t="s">
        <v>54</v>
      </c>
    </row>
    <row r="12" spans="1:14" ht="42" x14ac:dyDescent="0.3">
      <c r="A12" s="15" t="s">
        <v>7</v>
      </c>
      <c r="B12" s="14" t="s">
        <v>56</v>
      </c>
      <c r="C12" s="14" t="s">
        <v>55</v>
      </c>
      <c r="D12" s="15" t="s">
        <v>20</v>
      </c>
      <c r="E12" s="16">
        <f>+(15+7+6)*17</f>
        <v>476</v>
      </c>
      <c r="F12" s="17">
        <v>39.28</v>
      </c>
      <c r="G12" s="18">
        <v>12</v>
      </c>
      <c r="H12" s="16">
        <v>1030</v>
      </c>
      <c r="I12" s="16"/>
      <c r="J12" s="17">
        <v>64.95</v>
      </c>
      <c r="K12" s="17"/>
      <c r="L12" s="17">
        <f>+טבלה523[[#This Row],[עלות לחניה לפני מע"מ והצמדות]]*טבלה523[[#This Row],[מס'' חניות שכורות (כמות מנויים)]]*טבלה523[[#This Row],[תקופת השימוש בחניון בחודשים]]+טבלה523[[#This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291265.86</v>
      </c>
      <c r="M12" s="14" t="s">
        <v>25</v>
      </c>
      <c r="N12" s="19" t="s">
        <v>97</v>
      </c>
    </row>
    <row r="13" spans="1:14" ht="28" x14ac:dyDescent="0.3">
      <c r="A13" s="15" t="s">
        <v>7</v>
      </c>
      <c r="B13" s="14" t="s">
        <v>57</v>
      </c>
      <c r="C13" s="14" t="s">
        <v>55</v>
      </c>
      <c r="D13" s="15" t="s">
        <v>20</v>
      </c>
      <c r="E13" s="16">
        <v>33</v>
      </c>
      <c r="F13" s="17">
        <v>420</v>
      </c>
      <c r="G13" s="18">
        <v>12</v>
      </c>
      <c r="H13" s="16">
        <v>650</v>
      </c>
      <c r="I13" s="16"/>
      <c r="J13" s="17">
        <v>64.95</v>
      </c>
      <c r="K13" s="17"/>
      <c r="L13" s="17">
        <f>+טבלה523[[#This Row],[עלות לחניה לפני מע"מ והצמדות]]*טבלה523[[#This Row],[מס'' חניות שכורות (כמות מנויים)]]*טבלה523[[#This Row],[תקופת השימוש בחניון בחודשים]]+טבלה523[[#This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208537.5</v>
      </c>
      <c r="M13" s="14" t="s">
        <v>25</v>
      </c>
      <c r="N13" s="15" t="s">
        <v>64</v>
      </c>
    </row>
    <row r="14" spans="1:14" ht="45.75" customHeight="1" x14ac:dyDescent="0.3">
      <c r="A14" s="15" t="s">
        <v>7</v>
      </c>
      <c r="B14" s="14" t="s">
        <v>58</v>
      </c>
      <c r="C14" s="14" t="s">
        <v>60</v>
      </c>
      <c r="D14" s="15" t="s">
        <v>59</v>
      </c>
      <c r="E14" s="16">
        <v>15</v>
      </c>
      <c r="F14" s="17"/>
      <c r="G14" s="18">
        <v>12</v>
      </c>
      <c r="H14" s="16"/>
      <c r="I14" s="16"/>
      <c r="J14" s="17"/>
      <c r="K14" s="17"/>
      <c r="L14" s="17">
        <v>77109.600000000006</v>
      </c>
      <c r="M14" s="14" t="s">
        <v>25</v>
      </c>
      <c r="N14" s="20" t="s">
        <v>65</v>
      </c>
    </row>
    <row r="15" spans="1:14" x14ac:dyDescent="0.3">
      <c r="A15" s="15" t="s">
        <v>7</v>
      </c>
      <c r="B15" s="14" t="s">
        <v>61</v>
      </c>
      <c r="C15" s="14" t="s">
        <v>61</v>
      </c>
      <c r="D15" s="14" t="s">
        <v>62</v>
      </c>
      <c r="E15" s="16">
        <v>320</v>
      </c>
      <c r="F15" s="17"/>
      <c r="G15" s="21"/>
      <c r="H15" s="16"/>
      <c r="I15" s="16"/>
      <c r="J15" s="17"/>
      <c r="K15" s="17"/>
      <c r="L15" s="22">
        <f>+טבלה523[[#This Row],[עלות לחניה לפני מע"מ והצמדות]]*טבלה523[[#This Row],[מס'' חניות שכורות (כמות מנויים)]]</f>
        <v>0</v>
      </c>
      <c r="M15" s="15"/>
      <c r="N15" s="15" t="s">
        <v>67</v>
      </c>
    </row>
    <row r="16" spans="1:14" x14ac:dyDescent="0.3">
      <c r="A16" s="5"/>
      <c r="B16" s="5"/>
      <c r="C16" s="5"/>
      <c r="D16" s="5"/>
      <c r="E16" s="6"/>
      <c r="F16" s="7"/>
      <c r="G16" s="8"/>
      <c r="H16" s="6"/>
      <c r="I16" s="6"/>
      <c r="J16" s="7"/>
      <c r="K16" s="7"/>
      <c r="L16" s="9"/>
      <c r="M16" s="5"/>
      <c r="N16" s="5"/>
    </row>
    <row r="17" spans="1:14" ht="42" x14ac:dyDescent="0.3">
      <c r="A17" s="23" t="s">
        <v>68</v>
      </c>
      <c r="B17" s="24" t="s">
        <v>69</v>
      </c>
      <c r="C17" s="24" t="s">
        <v>70</v>
      </c>
      <c r="D17" s="23" t="s">
        <v>71</v>
      </c>
      <c r="E17" s="25">
        <v>60</v>
      </c>
      <c r="F17" s="26">
        <v>464</v>
      </c>
      <c r="G17" s="27">
        <v>12</v>
      </c>
      <c r="H17" s="25"/>
      <c r="I17" s="25">
        <v>5000</v>
      </c>
      <c r="J17" s="26"/>
      <c r="K17" s="26">
        <v>20</v>
      </c>
      <c r="L17" s="26">
        <f>+טבלה523[[#This Row],[עלות לחניה לפני מע"מ והצמדות]]*טבלה523[[#This Row],[מס'' חניות שכורות (כמות מנויים)]]*טבלה523[[#This Row],[תקופת השימוש בחניון בחודשים]]+טבלה523[[#This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434080</v>
      </c>
      <c r="M17" s="24" t="s">
        <v>25</v>
      </c>
      <c r="N17" s="23"/>
    </row>
    <row r="18" spans="1:14" ht="42" x14ac:dyDescent="0.3">
      <c r="A18" s="23" t="s">
        <v>68</v>
      </c>
      <c r="B18" s="24" t="s">
        <v>72</v>
      </c>
      <c r="C18" s="24" t="s">
        <v>73</v>
      </c>
      <c r="D18" s="23" t="s">
        <v>74</v>
      </c>
      <c r="E18" s="25">
        <v>7</v>
      </c>
      <c r="F18" s="26">
        <v>845</v>
      </c>
      <c r="G18" s="27">
        <v>12</v>
      </c>
      <c r="H18" s="25">
        <v>100</v>
      </c>
      <c r="I18" s="25">
        <v>100</v>
      </c>
      <c r="J18" s="26">
        <v>66.67</v>
      </c>
      <c r="K18" s="26">
        <v>16.670000000000002</v>
      </c>
      <c r="L18" s="26">
        <f>+טבלה523[[#This Row],[עלות לחניה לפני מע"מ והצמדות]]*טבלה523[[#This Row],[מס'' חניות שכורות (כמות מנויים)]]*טבלה523[[#This Row],[תקופת השימוש בחניון בחודשים]]+טבלה523[[#This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79314</v>
      </c>
      <c r="M18" s="24" t="s">
        <v>25</v>
      </c>
      <c r="N18" s="23"/>
    </row>
    <row r="19" spans="1:14" ht="70" x14ac:dyDescent="0.3">
      <c r="A19" s="23" t="s">
        <v>68</v>
      </c>
      <c r="B19" s="24" t="s">
        <v>77</v>
      </c>
      <c r="C19" s="24" t="s">
        <v>75</v>
      </c>
      <c r="D19" s="23" t="s">
        <v>76</v>
      </c>
      <c r="E19" s="25">
        <v>13</v>
      </c>
      <c r="F19" s="26">
        <v>29.75</v>
      </c>
      <c r="G19" s="27"/>
      <c r="H19" s="25">
        <v>450</v>
      </c>
      <c r="I19" s="25"/>
      <c r="J19" s="26">
        <v>29.75</v>
      </c>
      <c r="K19" s="26"/>
      <c r="L19" s="26">
        <f>(13*17*12*29.75)+טבלה523[[#This Row],[עלות שובר יומי לפני מע"מ]]*טבלה523[[#This Row],[כמות שוברי חניה יומיים]]</f>
        <v>92284.5</v>
      </c>
      <c r="M19" s="24" t="s">
        <v>25</v>
      </c>
      <c r="N19" s="24" t="s">
        <v>78</v>
      </c>
    </row>
    <row r="20" spans="1:14" x14ac:dyDescent="0.3">
      <c r="A20" s="10"/>
      <c r="B20" s="5"/>
      <c r="C20" s="5"/>
      <c r="D20" s="10"/>
      <c r="E20" s="11"/>
      <c r="F20" s="12"/>
      <c r="G20" s="13"/>
      <c r="H20" s="11"/>
      <c r="I20" s="11"/>
      <c r="J20" s="12"/>
      <c r="K20" s="12"/>
      <c r="L20" s="12">
        <f>+טבלה523[[#This Row],[עלות לחניה לפני מע"מ והצמדות]]*טבלה523[[#This Row],[מס'' חניות שכורות (כמות מנויים)]]</f>
        <v>0</v>
      </c>
      <c r="M20" s="10"/>
      <c r="N20" s="10"/>
    </row>
    <row r="21" spans="1:14" ht="154" x14ac:dyDescent="0.3">
      <c r="A21" s="28" t="s">
        <v>9</v>
      </c>
      <c r="B21" s="29" t="s">
        <v>82</v>
      </c>
      <c r="C21" s="29" t="s">
        <v>29</v>
      </c>
      <c r="D21" s="28" t="s">
        <v>86</v>
      </c>
      <c r="E21" s="30"/>
      <c r="F21" s="31"/>
      <c r="G21" s="32">
        <v>12</v>
      </c>
      <c r="H21" s="30"/>
      <c r="I21" s="30">
        <v>132</v>
      </c>
      <c r="J21" s="31">
        <v>29.49</v>
      </c>
      <c r="K21" s="31"/>
      <c r="L21" s="31">
        <f>(5*350*12)+(9*23*12*29.49)+100*29.49+40*29.49</f>
        <v>98381.759999999995</v>
      </c>
      <c r="M21" s="28"/>
      <c r="N21" s="29" t="s">
        <v>105</v>
      </c>
    </row>
    <row r="22" spans="1:14" x14ac:dyDescent="0.3">
      <c r="A22" s="10"/>
      <c r="B22" s="5"/>
      <c r="C22" s="5"/>
      <c r="D22" s="10"/>
      <c r="E22" s="11"/>
      <c r="F22" s="12"/>
      <c r="G22" s="13"/>
      <c r="H22" s="11"/>
      <c r="I22" s="11"/>
      <c r="J22" s="12"/>
      <c r="K22" s="12"/>
      <c r="L22" s="12"/>
      <c r="M22" s="10"/>
      <c r="N22" s="10"/>
    </row>
    <row r="23" spans="1:14" ht="42" x14ac:dyDescent="0.3">
      <c r="A23" s="38" t="s">
        <v>10</v>
      </c>
      <c r="B23" s="39" t="s">
        <v>83</v>
      </c>
      <c r="C23" s="39"/>
      <c r="D23" s="38"/>
      <c r="E23" s="40"/>
      <c r="F23" s="41"/>
      <c r="G23" s="42"/>
      <c r="H23" s="40"/>
      <c r="I23" s="40"/>
      <c r="J23" s="41"/>
      <c r="K23" s="41"/>
      <c r="L23" s="41">
        <f>+טבלה523[[#This Row],[עלות לחניה לפני מע"מ והצמדות]]*טבלה523[[#This Row],[מס'' חניות שכורות (כמות מנויים)]]</f>
        <v>0</v>
      </c>
      <c r="M23" s="38"/>
      <c r="N23" s="15" t="s">
        <v>88</v>
      </c>
    </row>
    <row r="24" spans="1:14" x14ac:dyDescent="0.3">
      <c r="A24" s="10"/>
      <c r="B24" s="5"/>
      <c r="C24" s="5"/>
      <c r="D24" s="10"/>
      <c r="E24" s="11"/>
      <c r="F24" s="12"/>
      <c r="G24" s="13"/>
      <c r="H24" s="11"/>
      <c r="I24" s="11"/>
      <c r="J24" s="12"/>
      <c r="K24" s="12"/>
      <c r="L24" s="12">
        <f>+טבלה523[[#This Row],[עלות לחניה לפני מע"מ והצמדות]]*טבלה523[[#This Row],[מס'' חניות שכורות (כמות מנויים)]]</f>
        <v>0</v>
      </c>
      <c r="M24" s="10"/>
      <c r="N24" s="10"/>
    </row>
    <row r="25" spans="1:14" ht="42" x14ac:dyDescent="0.3">
      <c r="A25" s="43" t="s">
        <v>11</v>
      </c>
      <c r="B25" s="44" t="s">
        <v>79</v>
      </c>
      <c r="C25" s="44" t="s">
        <v>80</v>
      </c>
      <c r="D25" s="43" t="s">
        <v>81</v>
      </c>
      <c r="E25" s="45">
        <v>16</v>
      </c>
      <c r="F25" s="46">
        <v>18.8</v>
      </c>
      <c r="G25" s="47"/>
      <c r="H25" s="45"/>
      <c r="I25" s="45">
        <v>50</v>
      </c>
      <c r="J25" s="46"/>
      <c r="K25" s="46">
        <v>4.7</v>
      </c>
      <c r="L25" s="46">
        <f>1500*18.8+50*4.7</f>
        <v>28435</v>
      </c>
      <c r="M25" s="43"/>
      <c r="N25" s="44" t="s">
        <v>102</v>
      </c>
    </row>
    <row r="26" spans="1:14" x14ac:dyDescent="0.3">
      <c r="A26" s="10"/>
      <c r="B26" s="5"/>
      <c r="C26" s="5"/>
      <c r="D26" s="10"/>
      <c r="E26" s="11"/>
      <c r="F26" s="12"/>
      <c r="G26" s="13"/>
      <c r="H26" s="11"/>
      <c r="I26" s="11"/>
      <c r="J26" s="12"/>
      <c r="K26" s="12"/>
      <c r="L26" s="12">
        <f>+טבלה523[[#This Row],[עלות לחניה לפני מע"מ והצמדות]]*טבלה523[[#This Row],[מס'' חניות שכורות (כמות מנויים)]]</f>
        <v>0</v>
      </c>
      <c r="M26" s="10"/>
      <c r="N26" s="10"/>
    </row>
    <row r="27" spans="1:14" ht="42" x14ac:dyDescent="0.3">
      <c r="A27" s="33" t="s">
        <v>8</v>
      </c>
      <c r="B27" s="34" t="s">
        <v>84</v>
      </c>
      <c r="C27" s="34" t="s">
        <v>90</v>
      </c>
      <c r="D27" s="33" t="s">
        <v>91</v>
      </c>
      <c r="E27" s="35">
        <v>16</v>
      </c>
      <c r="F27" s="36">
        <v>420</v>
      </c>
      <c r="G27" s="37">
        <v>12</v>
      </c>
      <c r="H27" s="35">
        <v>240</v>
      </c>
      <c r="I27" s="35">
        <v>50</v>
      </c>
      <c r="J27" s="36">
        <v>25</v>
      </c>
      <c r="K27" s="36">
        <v>8</v>
      </c>
      <c r="L27" s="36">
        <f>+טבלה523[[#This Row],[עלות לחניה לפני מע"מ והצמדות]]*טבלה523[[#This Row],[מס'' חניות שכורות (כמות מנויים)]]*טבלה523[[#This Row],[תקופת השימוש בחניון בחודשים]]+טבלה523[[#This Row],[כמות שוברי חניה יומיים]]*טבלה523[[#This Row],[עלות שובר יומי לפני מע"מ]]+טבלה523[[#This Row],[כמות שוברי חניה שעתיים]]*טבלה523[[#This Row],[עלות שובר שעתי לפני מע"מ]]</f>
        <v>87040</v>
      </c>
      <c r="M27" s="33"/>
      <c r="N27" s="34" t="s">
        <v>89</v>
      </c>
    </row>
    <row r="28" spans="1:14" x14ac:dyDescent="0.3">
      <c r="A28" s="33" t="s">
        <v>8</v>
      </c>
      <c r="B28" s="34" t="s">
        <v>85</v>
      </c>
      <c r="C28" s="34"/>
      <c r="D28" s="33" t="s">
        <v>92</v>
      </c>
      <c r="E28" s="35">
        <v>500</v>
      </c>
      <c r="F28" s="36"/>
      <c r="G28" s="48"/>
      <c r="H28" s="35"/>
      <c r="I28" s="35"/>
      <c r="J28" s="36"/>
      <c r="K28" s="36"/>
      <c r="L28" s="49">
        <f>+טבלה523[[#This Row],[עלות לחניה לפני מע"מ והצמדות]]*טבלה523[[#This Row],[מס'' חניות שכורות (כמות מנויים)]]</f>
        <v>0</v>
      </c>
      <c r="M28" s="33"/>
      <c r="N28" s="15" t="s">
        <v>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tabSelected="1" workbookViewId="0">
      <selection activeCell="G2" sqref="G2"/>
    </sheetView>
  </sheetViews>
  <sheetFormatPr defaultRowHeight="14" x14ac:dyDescent="0.3"/>
  <cols>
    <col min="2" max="2" width="11.83203125" customWidth="1"/>
    <col min="3" max="3" width="12.5" customWidth="1"/>
    <col min="4" max="4" width="13.58203125" customWidth="1"/>
    <col min="5" max="5" width="20.83203125" style="4" customWidth="1"/>
    <col min="6" max="6" width="9.83203125" customWidth="1"/>
    <col min="7" max="7" width="12.58203125" customWidth="1"/>
    <col min="8" max="8" width="13.33203125" style="4" customWidth="1"/>
    <col min="9" max="9" width="12.5" style="4" customWidth="1"/>
    <col min="10" max="10" width="9.33203125" customWidth="1"/>
    <col min="11" max="11" width="9.25" customWidth="1"/>
    <col min="12" max="12" width="13.58203125" customWidth="1"/>
    <col min="13" max="13" width="14.08203125" customWidth="1"/>
    <col min="14" max="14" width="35.5" customWidth="1"/>
  </cols>
  <sheetData>
    <row r="1" spans="1:14" ht="56.5" customHeight="1" x14ac:dyDescent="0.3">
      <c r="A1" s="1" t="s">
        <v>0</v>
      </c>
      <c r="B1" s="1" t="s">
        <v>3</v>
      </c>
      <c r="C1" s="1" t="s">
        <v>1</v>
      </c>
      <c r="D1" s="1" t="s">
        <v>2</v>
      </c>
      <c r="E1" s="3" t="s">
        <v>4</v>
      </c>
      <c r="F1" s="2" t="s">
        <v>24</v>
      </c>
      <c r="G1" s="2" t="s">
        <v>17</v>
      </c>
      <c r="H1" s="3" t="s">
        <v>15</v>
      </c>
      <c r="I1" s="3" t="s">
        <v>6</v>
      </c>
      <c r="J1" s="2" t="s">
        <v>44</v>
      </c>
      <c r="K1" s="2" t="s">
        <v>45</v>
      </c>
      <c r="L1" s="2" t="s">
        <v>46</v>
      </c>
      <c r="M1" s="2" t="s">
        <v>5</v>
      </c>
      <c r="N1" s="1" t="s">
        <v>16</v>
      </c>
    </row>
    <row r="2" spans="1:14" ht="59.15" customHeight="1" x14ac:dyDescent="0.3">
      <c r="A2" s="14" t="s">
        <v>7</v>
      </c>
      <c r="B2" s="14" t="s">
        <v>19</v>
      </c>
      <c r="C2" s="14" t="s">
        <v>43</v>
      </c>
      <c r="D2" s="15" t="s">
        <v>20</v>
      </c>
      <c r="E2" s="16">
        <v>1</v>
      </c>
      <c r="F2" s="17">
        <v>450</v>
      </c>
      <c r="G2" s="18">
        <v>12</v>
      </c>
      <c r="H2" s="16"/>
      <c r="I2" s="16"/>
      <c r="J2" s="17"/>
      <c r="K2" s="17"/>
      <c r="L2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5400</v>
      </c>
      <c r="M2" s="15" t="s">
        <v>14</v>
      </c>
      <c r="N2" s="15"/>
    </row>
    <row r="3" spans="1:14" ht="42" x14ac:dyDescent="0.3">
      <c r="A3" s="14" t="s">
        <v>7</v>
      </c>
      <c r="B3" s="14" t="s">
        <v>22</v>
      </c>
      <c r="C3" s="14" t="s">
        <v>21</v>
      </c>
      <c r="D3" s="14" t="s">
        <v>23</v>
      </c>
      <c r="E3" s="16">
        <v>55</v>
      </c>
      <c r="F3" s="17">
        <v>224</v>
      </c>
      <c r="G3" s="18">
        <v>12</v>
      </c>
      <c r="H3" s="16"/>
      <c r="I3" s="16">
        <v>67</v>
      </c>
      <c r="J3" s="17"/>
      <c r="K3" s="17">
        <v>8.5500000000000007</v>
      </c>
      <c r="L3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148412.85</v>
      </c>
      <c r="M3" s="14" t="s">
        <v>25</v>
      </c>
      <c r="N3" s="15"/>
    </row>
    <row r="4" spans="1:14" ht="28" x14ac:dyDescent="0.3">
      <c r="A4" s="14" t="s">
        <v>7</v>
      </c>
      <c r="B4" s="14" t="s">
        <v>106</v>
      </c>
      <c r="C4" s="14" t="s">
        <v>26</v>
      </c>
      <c r="D4" s="15" t="s">
        <v>27</v>
      </c>
      <c r="E4" s="16">
        <v>10</v>
      </c>
      <c r="F4" s="50">
        <v>600</v>
      </c>
      <c r="G4" s="18">
        <v>7</v>
      </c>
      <c r="H4" s="16">
        <v>65</v>
      </c>
      <c r="I4" s="16"/>
      <c r="J4" s="17">
        <v>38</v>
      </c>
      <c r="K4" s="17"/>
      <c r="L4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44470</v>
      </c>
      <c r="M4" s="14" t="s">
        <v>25</v>
      </c>
      <c r="N4" s="14" t="s">
        <v>109</v>
      </c>
    </row>
    <row r="5" spans="1:14" ht="28" x14ac:dyDescent="0.3">
      <c r="A5" s="14" t="s">
        <v>7</v>
      </c>
      <c r="B5" s="14" t="s">
        <v>30</v>
      </c>
      <c r="C5" s="14" t="s">
        <v>110</v>
      </c>
      <c r="D5" s="15" t="s">
        <v>111</v>
      </c>
      <c r="E5" s="16">
        <v>5</v>
      </c>
      <c r="F5" s="17">
        <v>650</v>
      </c>
      <c r="G5" s="18">
        <v>12</v>
      </c>
      <c r="H5" s="16"/>
      <c r="I5" s="16"/>
      <c r="J5" s="17"/>
      <c r="K5" s="17"/>
      <c r="L5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39000</v>
      </c>
      <c r="M5" s="15" t="s">
        <v>14</v>
      </c>
      <c r="N5" s="15"/>
    </row>
    <row r="6" spans="1:14" ht="28" x14ac:dyDescent="0.3">
      <c r="A6" s="14" t="s">
        <v>7</v>
      </c>
      <c r="B6" s="14" t="s">
        <v>33</v>
      </c>
      <c r="C6" s="14" t="s">
        <v>32</v>
      </c>
      <c r="D6" s="15" t="s">
        <v>34</v>
      </c>
      <c r="E6" s="16">
        <v>1</v>
      </c>
      <c r="F6" s="17">
        <v>900</v>
      </c>
      <c r="G6" s="18">
        <v>12</v>
      </c>
      <c r="H6" s="16"/>
      <c r="I6" s="16"/>
      <c r="J6" s="17"/>
      <c r="K6" s="17"/>
      <c r="L6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10800</v>
      </c>
      <c r="M6" s="15" t="s">
        <v>14</v>
      </c>
      <c r="N6" s="15"/>
    </row>
    <row r="7" spans="1:14" x14ac:dyDescent="0.3">
      <c r="A7" s="14" t="s">
        <v>7</v>
      </c>
      <c r="B7" s="14" t="s">
        <v>37</v>
      </c>
      <c r="C7" s="14" t="s">
        <v>35</v>
      </c>
      <c r="D7" s="15" t="s">
        <v>36</v>
      </c>
      <c r="E7" s="16">
        <v>1</v>
      </c>
      <c r="F7" s="17">
        <v>600</v>
      </c>
      <c r="G7" s="18">
        <v>12</v>
      </c>
      <c r="H7" s="16"/>
      <c r="I7" s="16"/>
      <c r="J7" s="17"/>
      <c r="K7" s="17"/>
      <c r="L7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7200</v>
      </c>
      <c r="M7" s="15" t="s">
        <v>14</v>
      </c>
      <c r="N7" s="15"/>
    </row>
    <row r="8" spans="1:14" ht="28" x14ac:dyDescent="0.3">
      <c r="A8" s="14" t="s">
        <v>7</v>
      </c>
      <c r="B8" s="14" t="s">
        <v>107</v>
      </c>
      <c r="C8" s="14" t="s">
        <v>112</v>
      </c>
      <c r="D8" s="15" t="s">
        <v>31</v>
      </c>
      <c r="E8" s="16">
        <v>42</v>
      </c>
      <c r="F8" s="17">
        <v>770</v>
      </c>
      <c r="G8" s="18">
        <v>12</v>
      </c>
      <c r="H8" s="16"/>
      <c r="I8" s="16"/>
      <c r="J8" s="17"/>
      <c r="K8" s="17"/>
      <c r="L8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388080</v>
      </c>
      <c r="M8" s="14" t="s">
        <v>25</v>
      </c>
      <c r="N8" s="14" t="s">
        <v>113</v>
      </c>
    </row>
    <row r="9" spans="1:14" ht="70" x14ac:dyDescent="0.3">
      <c r="A9" s="14" t="s">
        <v>7</v>
      </c>
      <c r="B9" s="14" t="s">
        <v>107</v>
      </c>
      <c r="C9" s="14" t="s">
        <v>41</v>
      </c>
      <c r="D9" s="15" t="s">
        <v>12</v>
      </c>
      <c r="E9" s="16">
        <v>38</v>
      </c>
      <c r="F9" s="17">
        <v>950</v>
      </c>
      <c r="G9" s="21">
        <v>3</v>
      </c>
      <c r="H9" s="16">
        <v>360</v>
      </c>
      <c r="I9" s="16">
        <v>300</v>
      </c>
      <c r="J9" s="17">
        <v>71.790000000000006</v>
      </c>
      <c r="K9" s="17">
        <v>11.97</v>
      </c>
      <c r="L9" s="22">
        <f>טבלה5234[[#This Row],[מס'' חניות שכורות (כמות מנויים)]]*טבלה5234[[#This Row],[עלות לחניה לפני מע"מ והצמדות]]*טבלה5234[[#This Row],[תקופת השימוש בחניון בחודשים]]+טבלה5234[[#This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מע"מ]]+4*9*1000</f>
        <v>173735.4</v>
      </c>
      <c r="M9" s="14" t="s">
        <v>25</v>
      </c>
      <c r="N9" s="14" t="s">
        <v>114</v>
      </c>
    </row>
    <row r="10" spans="1:14" ht="28" x14ac:dyDescent="0.3">
      <c r="A10" s="14" t="s">
        <v>7</v>
      </c>
      <c r="B10" s="14" t="s">
        <v>47</v>
      </c>
      <c r="C10" s="14" t="s">
        <v>49</v>
      </c>
      <c r="D10" s="15" t="s">
        <v>53</v>
      </c>
      <c r="E10" s="16">
        <f>11*23</f>
        <v>253</v>
      </c>
      <c r="F10" s="17">
        <v>26</v>
      </c>
      <c r="G10" s="18">
        <v>12</v>
      </c>
      <c r="H10" s="16"/>
      <c r="I10" s="16"/>
      <c r="J10" s="17"/>
      <c r="K10" s="17"/>
      <c r="L10" s="17">
        <f>SUM(טבלה5234[[#This Row],[מס'' חניות שכורות (כמות מנויים)]]*טבלה5234[[#This Row],[תקופת השימוש בחניון בחודשים]]*טבלה5234[[#This Row],[עלות לחניה לפני מע"מ והצמדות]])+טבלה5234[[#This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78936</v>
      </c>
      <c r="M10" s="15" t="s">
        <v>14</v>
      </c>
      <c r="N10" s="14" t="s">
        <v>50</v>
      </c>
    </row>
    <row r="11" spans="1:14" ht="57" customHeight="1" x14ac:dyDescent="0.3">
      <c r="A11" s="14" t="s">
        <v>7</v>
      </c>
      <c r="B11" s="14" t="s">
        <v>51</v>
      </c>
      <c r="C11" s="14" t="s">
        <v>52</v>
      </c>
      <c r="D11" s="15" t="s">
        <v>48</v>
      </c>
      <c r="E11" s="16">
        <v>1800</v>
      </c>
      <c r="F11" s="17">
        <v>26</v>
      </c>
      <c r="G11" s="18"/>
      <c r="H11" s="16"/>
      <c r="I11" s="16"/>
      <c r="J11" s="17"/>
      <c r="K11" s="17"/>
      <c r="L11" s="17">
        <f>+טבלה5234[[#This Row],[עלות לחניה לפני מע"מ והצמדות]]*טבלה5234[[#This Row],[מס'' חניות שכורות (כמות מנויים)]]</f>
        <v>46800</v>
      </c>
      <c r="M11" s="14" t="s">
        <v>66</v>
      </c>
      <c r="N11" s="14" t="s">
        <v>54</v>
      </c>
    </row>
    <row r="12" spans="1:14" ht="42" x14ac:dyDescent="0.3">
      <c r="A12" s="15" t="s">
        <v>7</v>
      </c>
      <c r="B12" s="14" t="s">
        <v>56</v>
      </c>
      <c r="C12" s="14" t="s">
        <v>55</v>
      </c>
      <c r="D12" s="15" t="s">
        <v>20</v>
      </c>
      <c r="E12" s="16">
        <f>+(15+7)*17</f>
        <v>374</v>
      </c>
      <c r="F12" s="17">
        <v>39.28</v>
      </c>
      <c r="G12" s="18">
        <v>12</v>
      </c>
      <c r="H12" s="16">
        <v>1030</v>
      </c>
      <c r="I12" s="16"/>
      <c r="J12" s="17">
        <v>64.95</v>
      </c>
      <c r="K12" s="17"/>
      <c r="L12" s="17">
        <f>+טבלה5234[[#This Row],[עלות לחניה לפני מע"מ והצמדות]]*טבלה5234[[#This Row],[מס'' חניות שכורות (כמות מנויים)]]*טבלה5234[[#This Row],[תקופת השימוש בחניון בחודשים]]+טבלה5234[[#This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243187.14</v>
      </c>
      <c r="M12" s="14" t="s">
        <v>25</v>
      </c>
      <c r="N12" s="19" t="s">
        <v>97</v>
      </c>
    </row>
    <row r="13" spans="1:14" ht="45.75" customHeight="1" x14ac:dyDescent="0.3">
      <c r="A13" s="15" t="s">
        <v>7</v>
      </c>
      <c r="B13" s="14" t="s">
        <v>58</v>
      </c>
      <c r="C13" s="14" t="s">
        <v>60</v>
      </c>
      <c r="D13" s="15" t="s">
        <v>59</v>
      </c>
      <c r="E13" s="16">
        <v>15</v>
      </c>
      <c r="F13" s="17"/>
      <c r="G13" s="18">
        <v>12</v>
      </c>
      <c r="H13" s="16"/>
      <c r="I13" s="16"/>
      <c r="J13" s="17"/>
      <c r="K13" s="17"/>
      <c r="L13" s="17">
        <v>77109.600000000006</v>
      </c>
      <c r="M13" s="14" t="s">
        <v>25</v>
      </c>
      <c r="N13" s="20" t="s">
        <v>65</v>
      </c>
    </row>
    <row r="14" spans="1:14" x14ac:dyDescent="0.3">
      <c r="A14" s="15" t="s">
        <v>7</v>
      </c>
      <c r="B14" s="14" t="s">
        <v>61</v>
      </c>
      <c r="C14" s="14" t="s">
        <v>61</v>
      </c>
      <c r="D14" s="14" t="s">
        <v>62</v>
      </c>
      <c r="E14" s="16">
        <v>320</v>
      </c>
      <c r="F14" s="17"/>
      <c r="G14" s="21"/>
      <c r="H14" s="16"/>
      <c r="I14" s="16"/>
      <c r="J14" s="17"/>
      <c r="K14" s="17"/>
      <c r="L14" s="22">
        <f>+טבלה5234[[#This Row],[עלות לחניה לפני מע"מ והצמדות]]*טבלה5234[[#This Row],[מס'' חניות שכורות (כמות מנויים)]]</f>
        <v>0</v>
      </c>
      <c r="M14" s="15"/>
      <c r="N14" s="15" t="s">
        <v>67</v>
      </c>
    </row>
    <row r="15" spans="1:14" x14ac:dyDescent="0.3">
      <c r="A15" s="5"/>
      <c r="B15" s="5"/>
      <c r="C15" s="5"/>
      <c r="D15" s="5"/>
      <c r="E15" s="6"/>
      <c r="F15" s="7"/>
      <c r="G15" s="8"/>
      <c r="H15" s="6"/>
      <c r="I15" s="6"/>
      <c r="J15" s="7"/>
      <c r="K15" s="7"/>
      <c r="L15" s="9"/>
      <c r="M15" s="5"/>
      <c r="N15" s="5"/>
    </row>
    <row r="16" spans="1:14" ht="42" x14ac:dyDescent="0.3">
      <c r="A16" s="23" t="s">
        <v>68</v>
      </c>
      <c r="B16" s="24" t="s">
        <v>72</v>
      </c>
      <c r="C16" s="24" t="s">
        <v>73</v>
      </c>
      <c r="D16" s="23" t="s">
        <v>74</v>
      </c>
      <c r="E16" s="25">
        <v>7</v>
      </c>
      <c r="F16" s="26">
        <v>845</v>
      </c>
      <c r="G16" s="27">
        <v>12</v>
      </c>
      <c r="H16" s="25">
        <v>100</v>
      </c>
      <c r="I16" s="25">
        <v>100</v>
      </c>
      <c r="J16" s="26">
        <v>66.67</v>
      </c>
      <c r="K16" s="26">
        <v>16.670000000000002</v>
      </c>
      <c r="L16" s="26">
        <f>+טבלה5234[[#This Row],[עלות לחניה לפני מע"מ והצמדות]]*טבלה5234[[#This Row],[מס'' חניות שכורות (כמות מנויים)]]*טבלה5234[[#This Row],[תקופת השימוש בחניון בחודשים]]+טבלה5234[[#This Row],[כמות שוברי חניה יומיים]]*טבלה5234[[#This Row],[עלות שובר יומי לפני מע"מ]]+טבלה5234[[#This Row],[כמות שוברי חניה שעתיים]]*טבלה5234[[#This Row],[עלות שובר שעתי לפני מע"מ]]</f>
        <v>79314</v>
      </c>
      <c r="M16" s="24" t="s">
        <v>25</v>
      </c>
      <c r="N16" s="23"/>
    </row>
    <row r="17" spans="1:14" ht="28" x14ac:dyDescent="0.3">
      <c r="A17" s="23" t="s">
        <v>68</v>
      </c>
      <c r="B17" s="24" t="s">
        <v>108</v>
      </c>
      <c r="C17" s="24" t="s">
        <v>75</v>
      </c>
      <c r="D17" s="23" t="s">
        <v>76</v>
      </c>
      <c r="E17" s="25">
        <v>4</v>
      </c>
      <c r="F17" s="26">
        <v>29.75</v>
      </c>
      <c r="G17" s="27"/>
      <c r="H17" s="25">
        <v>300</v>
      </c>
      <c r="I17" s="25"/>
      <c r="J17" s="26">
        <v>29.75</v>
      </c>
      <c r="K17" s="26"/>
      <c r="L17" s="26">
        <f>(13*17*12*29.75)+טבלה5234[[#This Row],[עלות שובר יומי לפני מע"מ]]*טבלה5234[[#This Row],[כמות שוברי חניה יומיים]]</f>
        <v>87822</v>
      </c>
      <c r="M17" s="24" t="s">
        <v>25</v>
      </c>
      <c r="N17" s="24" t="s">
        <v>78</v>
      </c>
    </row>
    <row r="18" spans="1:14" x14ac:dyDescent="0.3">
      <c r="A18" s="10"/>
      <c r="B18" s="5"/>
      <c r="C18" s="5"/>
      <c r="D18" s="10"/>
      <c r="E18" s="11"/>
      <c r="F18" s="12"/>
      <c r="G18" s="13"/>
      <c r="H18" s="11"/>
      <c r="I18" s="11"/>
      <c r="J18" s="12"/>
      <c r="K18" s="12"/>
      <c r="L18" s="12">
        <f>+טבלה5234[[#This Row],[עלות לחניה לפני מע"מ והצמדות]]*טבלה5234[[#This Row],[מס'' חניות שכורות (כמות מנויים)]]</f>
        <v>0</v>
      </c>
      <c r="M18" s="10"/>
      <c r="N18" s="10"/>
    </row>
    <row r="19" spans="1:14" x14ac:dyDescent="0.3">
      <c r="A19" s="33" t="s">
        <v>8</v>
      </c>
      <c r="B19" s="34" t="s">
        <v>85</v>
      </c>
      <c r="C19" s="34"/>
      <c r="D19" s="33" t="s">
        <v>92</v>
      </c>
      <c r="E19" s="35">
        <v>500</v>
      </c>
      <c r="F19" s="36"/>
      <c r="G19" s="48"/>
      <c r="H19" s="35"/>
      <c r="I19" s="35"/>
      <c r="J19" s="36"/>
      <c r="K19" s="36"/>
      <c r="L19" s="49">
        <f>+טבלה5234[[#This Row],[עלות לחניה לפני מע"מ והצמדות]]*טבלה5234[[#This Row],[מס'' חניות שכורות (כמות מנויים)]]</f>
        <v>0</v>
      </c>
      <c r="M19" s="33"/>
      <c r="N19" s="15" t="s">
        <v>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אילנית קרן</dc:creator>
  <cp:lastModifiedBy>אילנית קרן</cp:lastModifiedBy>
  <dcterms:created xsi:type="dcterms:W3CDTF">2022-01-25T10:22:29Z</dcterms:created>
  <dcterms:modified xsi:type="dcterms:W3CDTF">2022-02-08T11:09:41Z</dcterms:modified>
</cp:coreProperties>
</file>