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 firstSheet="4" activeTab="4"/>
  </bookViews>
  <sheets>
    <sheet name="תשלומים 2017" sheetId="5" state="hidden" r:id="rId1"/>
    <sheet name="תקבולים 2017" sheetId="4" state="hidden" r:id="rId2"/>
    <sheet name="תשלומים" sheetId="2" state="hidden" r:id="rId3"/>
    <sheet name="תקבולים" sheetId="1" state="hidden" r:id="rId4"/>
    <sheet name="פירוט תקציב 2017 ו 2018" sheetId="3" r:id="rId5"/>
  </sheets>
  <externalReferences>
    <externalReference r:id="rId6"/>
    <externalReference r:id="rId7"/>
    <externalReference r:id="rId8"/>
  </externalReferences>
  <definedNames>
    <definedName name="_xlnm._FilterDatabase" localSheetId="4" hidden="1">'פירוט תקציב 2017 ו 2018'!$B$352:$W$749</definedName>
    <definedName name="_xlnm._FilterDatabase" localSheetId="3" hidden="1">תקבולים!$A$2:$V$350</definedName>
    <definedName name="_xlnm._FilterDatabase" localSheetId="1" hidden="1">'תקבולים 2017'!$A$2:$T$250</definedName>
    <definedName name="_xlnm._FilterDatabase" localSheetId="2" hidden="1">תשלומים!$A$2:$Z$401</definedName>
    <definedName name="_xlnm._FilterDatabase" localSheetId="0" hidden="1">'תשלומים 2017'!$A$2:$V$393</definedName>
    <definedName name="_xlnm.Print_Area" localSheetId="3">תקבולים!$B$1:$X$350</definedName>
    <definedName name="_xlnm.Print_Area" localSheetId="1">'תקבולים 2017'!$A$1:$AF$250</definedName>
    <definedName name="_xlnm.Print_Area" localSheetId="2">תשלומים!$B$1:$V$399</definedName>
    <definedName name="_xlnm.Print_Area" localSheetId="0">'תשלומים 2017'!$A$1:$AD$391</definedName>
    <definedName name="_xlnm.Print_Titles" localSheetId="3">תקבולים!$1:$2</definedName>
    <definedName name="_xlnm.Print_Titles" localSheetId="1">'תקבולים 2017'!$1:$2</definedName>
    <definedName name="_xlnm.Print_Titles" localSheetId="2">תשלומים!$1:$2</definedName>
    <definedName name="_xlnm.Print_Titles" localSheetId="0">'תשלומים 2017'!$1:$2</definedName>
  </definedNames>
  <calcPr calcId="145621"/>
</workbook>
</file>

<file path=xl/calcChain.xml><?xml version="1.0" encoding="utf-8"?>
<calcChain xmlns="http://schemas.openxmlformats.org/spreadsheetml/2006/main">
  <c r="T422" i="3" l="1"/>
  <c r="T718" i="3"/>
  <c r="T719" i="3"/>
  <c r="T720" i="3"/>
  <c r="T721" i="3"/>
  <c r="T723" i="3"/>
  <c r="T724" i="3"/>
  <c r="T727" i="3"/>
  <c r="T728" i="3"/>
  <c r="T730" i="3"/>
  <c r="T731" i="3"/>
  <c r="T732" i="3"/>
  <c r="T733" i="3"/>
  <c r="T734" i="3"/>
  <c r="T736" i="3"/>
  <c r="T737" i="3"/>
  <c r="T716" i="3"/>
  <c r="T710" i="3"/>
  <c r="T712" i="3"/>
  <c r="T709" i="3"/>
  <c r="T701" i="3"/>
  <c r="T702" i="3"/>
  <c r="T703" i="3"/>
  <c r="T704" i="3"/>
  <c r="T705" i="3"/>
  <c r="T698" i="3"/>
  <c r="T691" i="3"/>
  <c r="T692" i="3"/>
  <c r="T693" i="3"/>
  <c r="T695" i="3"/>
  <c r="T696" i="3"/>
  <c r="T690" i="3"/>
  <c r="T687" i="3"/>
  <c r="T688" i="3"/>
  <c r="T684" i="3"/>
  <c r="T679" i="3"/>
  <c r="T680" i="3"/>
  <c r="T682" i="3"/>
  <c r="T678" i="3"/>
  <c r="T666" i="3"/>
  <c r="T667" i="3"/>
  <c r="T669" i="3"/>
  <c r="T670" i="3"/>
  <c r="T671" i="3"/>
  <c r="T673" i="3"/>
  <c r="T676" i="3"/>
  <c r="T665" i="3"/>
  <c r="T654" i="3"/>
  <c r="T656" i="3"/>
  <c r="T657" i="3"/>
  <c r="T660" i="3"/>
  <c r="T663" i="3"/>
  <c r="T653" i="3"/>
  <c r="T644" i="3"/>
  <c r="T645" i="3"/>
  <c r="T650" i="3"/>
  <c r="T642" i="3"/>
  <c r="T627" i="3"/>
  <c r="T629" i="3"/>
  <c r="T631" i="3"/>
  <c r="T633" i="3"/>
  <c r="T625" i="3"/>
  <c r="T601" i="3"/>
  <c r="T602" i="3"/>
  <c r="T604" i="3"/>
  <c r="T607" i="3"/>
  <c r="T608" i="3"/>
  <c r="T609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00" i="3"/>
  <c r="T584" i="3"/>
  <c r="T585" i="3"/>
  <c r="T587" i="3"/>
  <c r="T593" i="3"/>
  <c r="T583" i="3"/>
  <c r="T578" i="3"/>
  <c r="T579" i="3"/>
  <c r="T581" i="3"/>
  <c r="T577" i="3"/>
  <c r="T573" i="3"/>
  <c r="T574" i="3"/>
  <c r="T575" i="3"/>
  <c r="T572" i="3"/>
  <c r="T576" i="3" s="1"/>
  <c r="T536" i="3"/>
  <c r="T538" i="3"/>
  <c r="T539" i="3"/>
  <c r="T540" i="3"/>
  <c r="T542" i="3"/>
  <c r="T543" i="3"/>
  <c r="T547" i="3"/>
  <c r="T548" i="3"/>
  <c r="T549" i="3"/>
  <c r="T551" i="3"/>
  <c r="T552" i="3"/>
  <c r="T554" i="3"/>
  <c r="T556" i="3"/>
  <c r="T557" i="3"/>
  <c r="T561" i="3"/>
  <c r="T564" i="3"/>
  <c r="T565" i="3"/>
  <c r="T566" i="3"/>
  <c r="T568" i="3"/>
  <c r="T570" i="3"/>
  <c r="T534" i="3"/>
  <c r="T532" i="3"/>
  <c r="T533" i="3" s="1"/>
  <c r="T524" i="3"/>
  <c r="T526" i="3"/>
  <c r="T523" i="3"/>
  <c r="T502" i="3"/>
  <c r="T503" i="3"/>
  <c r="T504" i="3"/>
  <c r="T505" i="3"/>
  <c r="T508" i="3"/>
  <c r="T509" i="3"/>
  <c r="T510" i="3"/>
  <c r="T512" i="3"/>
  <c r="T514" i="3"/>
  <c r="T515" i="3"/>
  <c r="T516" i="3"/>
  <c r="T517" i="3"/>
  <c r="T501" i="3"/>
  <c r="T487" i="3"/>
  <c r="T489" i="3"/>
  <c r="T491" i="3"/>
  <c r="T492" i="3"/>
  <c r="T493" i="3"/>
  <c r="T494" i="3"/>
  <c r="T496" i="3"/>
  <c r="T486" i="3"/>
  <c r="T484" i="3"/>
  <c r="T478" i="3"/>
  <c r="T472" i="3"/>
  <c r="T474" i="3"/>
  <c r="T469" i="3"/>
  <c r="T455" i="3"/>
  <c r="T456" i="3"/>
  <c r="T459" i="3"/>
  <c r="T461" i="3"/>
  <c r="T463" i="3"/>
  <c r="T464" i="3"/>
  <c r="T465" i="3"/>
  <c r="T466" i="3"/>
  <c r="T467" i="3"/>
  <c r="T447" i="3"/>
  <c r="T450" i="3"/>
  <c r="T451" i="3"/>
  <c r="T445" i="3"/>
  <c r="T442" i="3"/>
  <c r="T443" i="3"/>
  <c r="T441" i="3"/>
  <c r="T444" i="3" s="1"/>
  <c r="T430" i="3"/>
  <c r="T433" i="3"/>
  <c r="T435" i="3"/>
  <c r="T436" i="3"/>
  <c r="T437" i="3"/>
  <c r="T438" i="3"/>
  <c r="T439" i="3"/>
  <c r="T424" i="3"/>
  <c r="T425" i="3"/>
  <c r="T423" i="3"/>
  <c r="T426" i="3" s="1"/>
  <c r="T421" i="3"/>
  <c r="T420" i="3"/>
  <c r="T417" i="3"/>
  <c r="T418" i="3"/>
  <c r="T403" i="3"/>
  <c r="T405" i="3"/>
  <c r="T409" i="3"/>
  <c r="T410" i="3"/>
  <c r="T412" i="3"/>
  <c r="T413" i="3"/>
  <c r="T402" i="3"/>
  <c r="T397" i="3"/>
  <c r="T39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2" i="3"/>
  <c r="T393" i="3"/>
  <c r="T394" i="3"/>
  <c r="T376" i="3"/>
  <c r="T373" i="3"/>
  <c r="T371" i="3"/>
  <c r="T358" i="3"/>
  <c r="T359" i="3"/>
  <c r="T360" i="3"/>
  <c r="T361" i="3"/>
  <c r="T362" i="3"/>
  <c r="T363" i="3"/>
  <c r="T354" i="3"/>
  <c r="O377" i="5"/>
  <c r="T21" i="3"/>
  <c r="C21" i="3"/>
  <c r="D21" i="3"/>
  <c r="T329" i="3" l="1"/>
  <c r="T332" i="3"/>
  <c r="T336" i="3"/>
  <c r="T339" i="3"/>
  <c r="T341" i="3"/>
  <c r="T342" i="3"/>
  <c r="T328" i="3"/>
  <c r="T310" i="3"/>
  <c r="T314" i="3"/>
  <c r="T315" i="3"/>
  <c r="T316" i="3"/>
  <c r="T319" i="3"/>
  <c r="T290" i="3"/>
  <c r="T291" i="3"/>
  <c r="T294" i="3"/>
  <c r="T295" i="3"/>
  <c r="T297" i="3"/>
  <c r="T299" i="3"/>
  <c r="T300" i="3"/>
  <c r="T286" i="3"/>
  <c r="T279" i="3"/>
  <c r="T280" i="3"/>
  <c r="T281" i="3"/>
  <c r="T283" i="3"/>
  <c r="T259" i="3"/>
  <c r="T262" i="3"/>
  <c r="T263" i="3"/>
  <c r="T266" i="3"/>
  <c r="T267" i="3"/>
  <c r="T250" i="3"/>
  <c r="T247" i="3"/>
  <c r="T248" i="3" s="1"/>
  <c r="T233" i="3"/>
  <c r="T234" i="3"/>
  <c r="T236" i="3"/>
  <c r="T237" i="3"/>
  <c r="T241" i="3"/>
  <c r="T172" i="3"/>
  <c r="T174" i="3"/>
  <c r="T175" i="3"/>
  <c r="T177" i="3"/>
  <c r="T178" i="3"/>
  <c r="T179" i="3"/>
  <c r="T180" i="3"/>
  <c r="T181" i="3"/>
  <c r="T182" i="3"/>
  <c r="T183" i="3"/>
  <c r="T184" i="3"/>
  <c r="T186" i="3"/>
  <c r="T187" i="3"/>
  <c r="T188" i="3"/>
  <c r="T189" i="3"/>
  <c r="T190" i="3"/>
  <c r="T191" i="3"/>
  <c r="T192" i="3"/>
  <c r="T193" i="3"/>
  <c r="T198" i="3"/>
  <c r="T199" i="3"/>
  <c r="T201" i="3"/>
  <c r="T204" i="3"/>
  <c r="T206" i="3"/>
  <c r="T216" i="3"/>
  <c r="T217" i="3"/>
  <c r="T218" i="3"/>
  <c r="T219" i="3"/>
  <c r="T224" i="3"/>
  <c r="T225" i="3"/>
  <c r="T167" i="3"/>
  <c r="T67" i="3"/>
  <c r="T122" i="3"/>
  <c r="T125" i="3"/>
  <c r="T126" i="3"/>
  <c r="T127" i="3"/>
  <c r="T128" i="3"/>
  <c r="T131" i="3"/>
  <c r="T116" i="3"/>
  <c r="T118" i="3" s="1"/>
  <c r="T79" i="3"/>
  <c r="T90" i="3"/>
  <c r="T95" i="3"/>
  <c r="T96" i="3"/>
  <c r="T97" i="3"/>
  <c r="T98" i="3"/>
  <c r="T100" i="3"/>
  <c r="T104" i="3"/>
  <c r="T111" i="3"/>
  <c r="T113" i="3"/>
  <c r="T70" i="3"/>
  <c r="T76" i="3"/>
  <c r="T68" i="3"/>
  <c r="T50" i="3"/>
  <c r="T51" i="3"/>
  <c r="T52" i="3"/>
  <c r="T54" i="3"/>
  <c r="T55" i="3"/>
  <c r="T56" i="3"/>
  <c r="T57" i="3"/>
  <c r="T49" i="3"/>
  <c r="T43" i="3"/>
  <c r="T40" i="3"/>
  <c r="T18" i="3"/>
  <c r="T20" i="3"/>
  <c r="T25" i="3"/>
  <c r="T26" i="3"/>
  <c r="T28" i="3"/>
  <c r="T31" i="3"/>
  <c r="T33" i="3"/>
  <c r="T17" i="3"/>
  <c r="T5" i="3"/>
  <c r="T9" i="3"/>
  <c r="T4" i="3"/>
  <c r="H398" i="5"/>
  <c r="H397" i="5"/>
  <c r="H396" i="5"/>
  <c r="H400" i="5" s="1"/>
  <c r="G393" i="5"/>
  <c r="U391" i="5"/>
  <c r="U390" i="5"/>
  <c r="U389" i="5"/>
  <c r="R389" i="5"/>
  <c r="N389" i="5"/>
  <c r="M389" i="5"/>
  <c r="L389" i="5"/>
  <c r="K389" i="5"/>
  <c r="J389" i="5"/>
  <c r="I389" i="5"/>
  <c r="H389" i="5"/>
  <c r="G389" i="5"/>
  <c r="F389" i="5"/>
  <c r="E389" i="5"/>
  <c r="P388" i="5"/>
  <c r="Q388" i="5" s="1"/>
  <c r="T744" i="3" s="1"/>
  <c r="O388" i="5"/>
  <c r="C388" i="5"/>
  <c r="B388" i="5"/>
  <c r="AC387" i="5"/>
  <c r="Q387" i="5"/>
  <c r="T743" i="3" s="1"/>
  <c r="O387" i="5"/>
  <c r="C387" i="5"/>
  <c r="B387" i="5"/>
  <c r="P386" i="5"/>
  <c r="Q386" i="5" s="1"/>
  <c r="T742" i="3" s="1"/>
  <c r="O386" i="5"/>
  <c r="C386" i="5"/>
  <c r="B386" i="5"/>
  <c r="P385" i="5"/>
  <c r="AC385" i="5" s="1"/>
  <c r="O385" i="5"/>
  <c r="C385" i="5"/>
  <c r="B385" i="5"/>
  <c r="P384" i="5"/>
  <c r="Q384" i="5" s="1"/>
  <c r="T740" i="3" s="1"/>
  <c r="O384" i="5"/>
  <c r="AC384" i="5" s="1"/>
  <c r="C384" i="5"/>
  <c r="B384" i="5"/>
  <c r="P383" i="5"/>
  <c r="O383" i="5"/>
  <c r="C383" i="5"/>
  <c r="B383" i="5"/>
  <c r="P382" i="5"/>
  <c r="Q382" i="5" s="1"/>
  <c r="T738" i="3" s="1"/>
  <c r="O382" i="5"/>
  <c r="C382" i="5"/>
  <c r="B382" i="5"/>
  <c r="P381" i="5"/>
  <c r="O381" i="5"/>
  <c r="C381" i="5"/>
  <c r="B381" i="5"/>
  <c r="P380" i="5"/>
  <c r="O380" i="5"/>
  <c r="C380" i="5"/>
  <c r="B380" i="5"/>
  <c r="P379" i="5"/>
  <c r="Q379" i="5" s="1"/>
  <c r="T735" i="3" s="1"/>
  <c r="O379" i="5"/>
  <c r="C379" i="5"/>
  <c r="B379" i="5"/>
  <c r="P378" i="5"/>
  <c r="O378" i="5"/>
  <c r="C378" i="5"/>
  <c r="B378" i="5"/>
  <c r="P377" i="5"/>
  <c r="C377" i="5"/>
  <c r="B377" i="5"/>
  <c r="P376" i="5"/>
  <c r="O376" i="5"/>
  <c r="AC376" i="5" s="1"/>
  <c r="C376" i="5"/>
  <c r="B376" i="5"/>
  <c r="P375" i="5"/>
  <c r="O375" i="5"/>
  <c r="C375" i="5"/>
  <c r="B375" i="5"/>
  <c r="P374" i="5"/>
  <c r="O374" i="5"/>
  <c r="C374" i="5"/>
  <c r="B374" i="5"/>
  <c r="P373" i="5"/>
  <c r="Q373" i="5" s="1"/>
  <c r="T729" i="3" s="1"/>
  <c r="O373" i="5"/>
  <c r="C373" i="5"/>
  <c r="B373" i="5"/>
  <c r="P372" i="5"/>
  <c r="O372" i="5"/>
  <c r="C372" i="5"/>
  <c r="B372" i="5"/>
  <c r="P371" i="5"/>
  <c r="O371" i="5"/>
  <c r="C371" i="5"/>
  <c r="B371" i="5"/>
  <c r="P370" i="5"/>
  <c r="O370" i="5"/>
  <c r="C370" i="5"/>
  <c r="B370" i="5"/>
  <c r="P369" i="5"/>
  <c r="Q369" i="5" s="1"/>
  <c r="T725" i="3" s="1"/>
  <c r="O369" i="5"/>
  <c r="C369" i="5"/>
  <c r="B369" i="5"/>
  <c r="P368" i="5"/>
  <c r="O368" i="5"/>
  <c r="C368" i="5"/>
  <c r="B368" i="5"/>
  <c r="P367" i="5"/>
  <c r="O367" i="5"/>
  <c r="C367" i="5"/>
  <c r="B367" i="5"/>
  <c r="P366" i="5"/>
  <c r="Q366" i="5" s="1"/>
  <c r="T722" i="3" s="1"/>
  <c r="O366" i="5"/>
  <c r="AC366" i="5" s="1"/>
  <c r="C366" i="5"/>
  <c r="B366" i="5"/>
  <c r="P365" i="5"/>
  <c r="O365" i="5"/>
  <c r="AC365" i="5" s="1"/>
  <c r="C365" i="5"/>
  <c r="B365" i="5"/>
  <c r="P364" i="5"/>
  <c r="O364" i="5"/>
  <c r="C364" i="5"/>
  <c r="B364" i="5"/>
  <c r="P363" i="5"/>
  <c r="O363" i="5"/>
  <c r="C363" i="5"/>
  <c r="B363" i="5"/>
  <c r="P362" i="5"/>
  <c r="O362" i="5"/>
  <c r="AC362" i="5" s="1"/>
  <c r="C362" i="5"/>
  <c r="B362" i="5"/>
  <c r="P361" i="5"/>
  <c r="Q361" i="5" s="1"/>
  <c r="T717" i="3" s="1"/>
  <c r="O361" i="5"/>
  <c r="C361" i="5"/>
  <c r="B361" i="5"/>
  <c r="P360" i="5"/>
  <c r="O360" i="5"/>
  <c r="O389" i="5" s="1"/>
  <c r="C360" i="5"/>
  <c r="B360" i="5"/>
  <c r="AC359" i="5"/>
  <c r="V359" i="5"/>
  <c r="U359" i="5"/>
  <c r="Q359" i="5"/>
  <c r="U358" i="5"/>
  <c r="R358" i="5"/>
  <c r="N358" i="5"/>
  <c r="M358" i="5"/>
  <c r="L358" i="5"/>
  <c r="K358" i="5"/>
  <c r="J358" i="5"/>
  <c r="I358" i="5"/>
  <c r="H358" i="5"/>
  <c r="G358" i="5"/>
  <c r="F358" i="5"/>
  <c r="E358" i="5"/>
  <c r="P357" i="5"/>
  <c r="Q357" i="5" s="1"/>
  <c r="T713" i="3" s="1"/>
  <c r="O357" i="5"/>
  <c r="C357" i="5"/>
  <c r="B357" i="5"/>
  <c r="P356" i="5"/>
  <c r="O356" i="5"/>
  <c r="C356" i="5"/>
  <c r="B356" i="5"/>
  <c r="P355" i="5"/>
  <c r="O355" i="5"/>
  <c r="C355" i="5"/>
  <c r="B355" i="5"/>
  <c r="P354" i="5"/>
  <c r="O354" i="5"/>
  <c r="C354" i="5"/>
  <c r="B354" i="5"/>
  <c r="P353" i="5"/>
  <c r="P358" i="5" s="1"/>
  <c r="V358" i="5" s="1"/>
  <c r="O353" i="5"/>
  <c r="C353" i="5"/>
  <c r="B353" i="5"/>
  <c r="AC352" i="5"/>
  <c r="V352" i="5"/>
  <c r="U352" i="5"/>
  <c r="Q352" i="5"/>
  <c r="U351" i="5"/>
  <c r="U350" i="5"/>
  <c r="R350" i="5"/>
  <c r="N350" i="5"/>
  <c r="M350" i="5"/>
  <c r="L350" i="5"/>
  <c r="K350" i="5"/>
  <c r="J350" i="5"/>
  <c r="I350" i="5"/>
  <c r="H350" i="5"/>
  <c r="G350" i="5"/>
  <c r="F350" i="5"/>
  <c r="E350" i="5"/>
  <c r="P349" i="5"/>
  <c r="AC349" i="5" s="1"/>
  <c r="O349" i="5"/>
  <c r="C349" i="5"/>
  <c r="B349" i="5"/>
  <c r="P348" i="5"/>
  <c r="AC348" i="5" s="1"/>
  <c r="O348" i="5"/>
  <c r="C348" i="5"/>
  <c r="B348" i="5"/>
  <c r="P347" i="5"/>
  <c r="O347" i="5"/>
  <c r="C347" i="5"/>
  <c r="B347" i="5"/>
  <c r="P346" i="5"/>
  <c r="O346" i="5"/>
  <c r="C346" i="5"/>
  <c r="B346" i="5"/>
  <c r="P345" i="5"/>
  <c r="AC345" i="5" s="1"/>
  <c r="O345" i="5"/>
  <c r="C345" i="5"/>
  <c r="B345" i="5"/>
  <c r="AC344" i="5"/>
  <c r="P344" i="5"/>
  <c r="Q344" i="5" s="1"/>
  <c r="T700" i="3" s="1"/>
  <c r="O344" i="5"/>
  <c r="C344" i="5"/>
  <c r="B344" i="5"/>
  <c r="P343" i="5"/>
  <c r="O343" i="5"/>
  <c r="C343" i="5"/>
  <c r="B343" i="5"/>
  <c r="P342" i="5"/>
  <c r="O342" i="5"/>
  <c r="C342" i="5"/>
  <c r="B342" i="5"/>
  <c r="U341" i="5"/>
  <c r="R341" i="5"/>
  <c r="N341" i="5"/>
  <c r="M341" i="5"/>
  <c r="L341" i="5"/>
  <c r="K341" i="5"/>
  <c r="J341" i="5"/>
  <c r="I341" i="5"/>
  <c r="H341" i="5"/>
  <c r="G341" i="5"/>
  <c r="F341" i="5"/>
  <c r="E341" i="5"/>
  <c r="P340" i="5"/>
  <c r="O340" i="5"/>
  <c r="C340" i="5"/>
  <c r="B340" i="5"/>
  <c r="P339" i="5"/>
  <c r="O339" i="5"/>
  <c r="C339" i="5"/>
  <c r="B339" i="5"/>
  <c r="Q338" i="5"/>
  <c r="P338" i="5"/>
  <c r="O338" i="5"/>
  <c r="C338" i="5"/>
  <c r="B338" i="5"/>
  <c r="P337" i="5"/>
  <c r="O337" i="5"/>
  <c r="C337" i="5"/>
  <c r="B337" i="5"/>
  <c r="P336" i="5"/>
  <c r="O336" i="5"/>
  <c r="C336" i="5"/>
  <c r="B336" i="5"/>
  <c r="P335" i="5"/>
  <c r="O335" i="5"/>
  <c r="C335" i="5"/>
  <c r="B335" i="5"/>
  <c r="P334" i="5"/>
  <c r="O334" i="5"/>
  <c r="C334" i="5"/>
  <c r="B334" i="5"/>
  <c r="U333" i="5"/>
  <c r="R333" i="5"/>
  <c r="N333" i="5"/>
  <c r="M333" i="5"/>
  <c r="L333" i="5"/>
  <c r="K333" i="5"/>
  <c r="J333" i="5"/>
  <c r="I333" i="5"/>
  <c r="H333" i="5"/>
  <c r="G333" i="5"/>
  <c r="F333" i="5"/>
  <c r="E333" i="5"/>
  <c r="P332" i="5"/>
  <c r="O332" i="5"/>
  <c r="C332" i="5"/>
  <c r="B332" i="5"/>
  <c r="P331" i="5"/>
  <c r="O331" i="5"/>
  <c r="C331" i="5"/>
  <c r="B331" i="5"/>
  <c r="P330" i="5"/>
  <c r="Q330" i="5" s="1"/>
  <c r="T686" i="3" s="1"/>
  <c r="O330" i="5"/>
  <c r="AC330" i="5" s="1"/>
  <c r="C330" i="5"/>
  <c r="B330" i="5"/>
  <c r="P329" i="5"/>
  <c r="Q329" i="5" s="1"/>
  <c r="T685" i="3" s="1"/>
  <c r="T689" i="3" s="1"/>
  <c r="O329" i="5"/>
  <c r="AC329" i="5" s="1"/>
  <c r="C329" i="5"/>
  <c r="B329" i="5"/>
  <c r="P328" i="5"/>
  <c r="O328" i="5"/>
  <c r="O333" i="5" s="1"/>
  <c r="C328" i="5"/>
  <c r="B328" i="5"/>
  <c r="U327" i="5"/>
  <c r="R327" i="5"/>
  <c r="N327" i="5"/>
  <c r="M327" i="5"/>
  <c r="L327" i="5"/>
  <c r="K327" i="5"/>
  <c r="J327" i="5"/>
  <c r="I327" i="5"/>
  <c r="H327" i="5"/>
  <c r="G327" i="5"/>
  <c r="F327" i="5"/>
  <c r="E327" i="5"/>
  <c r="P326" i="5"/>
  <c r="O326" i="5"/>
  <c r="C326" i="5"/>
  <c r="B326" i="5"/>
  <c r="P325" i="5"/>
  <c r="Q325" i="5" s="1"/>
  <c r="O325" i="5"/>
  <c r="AC325" i="5" s="1"/>
  <c r="C325" i="5"/>
  <c r="B325" i="5"/>
  <c r="P324" i="5"/>
  <c r="O324" i="5"/>
  <c r="AC324" i="5" s="1"/>
  <c r="C324" i="5"/>
  <c r="B324" i="5"/>
  <c r="P323" i="5"/>
  <c r="O323" i="5"/>
  <c r="C323" i="5"/>
  <c r="B323" i="5"/>
  <c r="P322" i="5"/>
  <c r="O322" i="5"/>
  <c r="C322" i="5"/>
  <c r="B322" i="5"/>
  <c r="U321" i="5"/>
  <c r="R321" i="5"/>
  <c r="N321" i="5"/>
  <c r="M321" i="5"/>
  <c r="L321" i="5"/>
  <c r="K321" i="5"/>
  <c r="J321" i="5"/>
  <c r="I321" i="5"/>
  <c r="H321" i="5"/>
  <c r="G321" i="5"/>
  <c r="F321" i="5"/>
  <c r="E321" i="5"/>
  <c r="P320" i="5"/>
  <c r="O320" i="5"/>
  <c r="C320" i="5"/>
  <c r="B320" i="5"/>
  <c r="P319" i="5"/>
  <c r="O319" i="5"/>
  <c r="C319" i="5"/>
  <c r="B319" i="5"/>
  <c r="P318" i="5"/>
  <c r="Q318" i="5" s="1"/>
  <c r="T674" i="3" s="1"/>
  <c r="O318" i="5"/>
  <c r="C318" i="5"/>
  <c r="B318" i="5"/>
  <c r="P317" i="5"/>
  <c r="O317" i="5"/>
  <c r="C317" i="5"/>
  <c r="B317" i="5"/>
  <c r="P316" i="5"/>
  <c r="Q316" i="5" s="1"/>
  <c r="T672" i="3" s="1"/>
  <c r="O316" i="5"/>
  <c r="C316" i="5"/>
  <c r="B316" i="5"/>
  <c r="P315" i="5"/>
  <c r="O315" i="5"/>
  <c r="C315" i="5"/>
  <c r="B315" i="5"/>
  <c r="P314" i="5"/>
  <c r="O314" i="5"/>
  <c r="C314" i="5"/>
  <c r="B314" i="5"/>
  <c r="P313" i="5"/>
  <c r="O313" i="5"/>
  <c r="C313" i="5"/>
  <c r="B313" i="5"/>
  <c r="P312" i="5"/>
  <c r="Q312" i="5" s="1"/>
  <c r="T668" i="3" s="1"/>
  <c r="O312" i="5"/>
  <c r="C312" i="5"/>
  <c r="B312" i="5"/>
  <c r="P311" i="5"/>
  <c r="O311" i="5"/>
  <c r="C311" i="5"/>
  <c r="B311" i="5"/>
  <c r="P310" i="5"/>
  <c r="O310" i="5"/>
  <c r="C310" i="5"/>
  <c r="B310" i="5"/>
  <c r="P309" i="5"/>
  <c r="O309" i="5"/>
  <c r="C309" i="5"/>
  <c r="B309" i="5"/>
  <c r="U308" i="5"/>
  <c r="R308" i="5"/>
  <c r="N308" i="5"/>
  <c r="M308" i="5"/>
  <c r="L308" i="5"/>
  <c r="K308" i="5"/>
  <c r="J308" i="5"/>
  <c r="I308" i="5"/>
  <c r="H308" i="5"/>
  <c r="G308" i="5"/>
  <c r="F308" i="5"/>
  <c r="E308" i="5"/>
  <c r="P307" i="5"/>
  <c r="O307" i="5"/>
  <c r="AC307" i="5" s="1"/>
  <c r="C307" i="5"/>
  <c r="B307" i="5"/>
  <c r="P306" i="5"/>
  <c r="Q306" i="5" s="1"/>
  <c r="T662" i="3" s="1"/>
  <c r="O306" i="5"/>
  <c r="C306" i="5"/>
  <c r="B306" i="5"/>
  <c r="P305" i="5"/>
  <c r="Q305" i="5" s="1"/>
  <c r="T661" i="3" s="1"/>
  <c r="O305" i="5"/>
  <c r="C305" i="5"/>
  <c r="B305" i="5"/>
  <c r="P304" i="5"/>
  <c r="O304" i="5"/>
  <c r="C304" i="5"/>
  <c r="B304" i="5"/>
  <c r="P303" i="5"/>
  <c r="O303" i="5"/>
  <c r="C303" i="5"/>
  <c r="B303" i="5"/>
  <c r="P302" i="5"/>
  <c r="Q302" i="5" s="1"/>
  <c r="T658" i="3" s="1"/>
  <c r="O302" i="5"/>
  <c r="C302" i="5"/>
  <c r="B302" i="5"/>
  <c r="P301" i="5"/>
  <c r="O301" i="5"/>
  <c r="C301" i="5"/>
  <c r="B301" i="5"/>
  <c r="P300" i="5"/>
  <c r="O300" i="5"/>
  <c r="C300" i="5"/>
  <c r="B300" i="5"/>
  <c r="P299" i="5"/>
  <c r="Q299" i="5" s="1"/>
  <c r="T655" i="3" s="1"/>
  <c r="O299" i="5"/>
  <c r="C299" i="5"/>
  <c r="B299" i="5"/>
  <c r="P298" i="5"/>
  <c r="O298" i="5"/>
  <c r="C298" i="5"/>
  <c r="B298" i="5"/>
  <c r="C297" i="5"/>
  <c r="B297" i="5"/>
  <c r="AC296" i="5"/>
  <c r="V296" i="5"/>
  <c r="U296" i="5"/>
  <c r="Q296" i="5"/>
  <c r="U295" i="5"/>
  <c r="R295" i="5"/>
  <c r="N295" i="5"/>
  <c r="M295" i="5"/>
  <c r="L295" i="5"/>
  <c r="K295" i="5"/>
  <c r="J295" i="5"/>
  <c r="I295" i="5"/>
  <c r="H295" i="5"/>
  <c r="G295" i="5"/>
  <c r="F295" i="5"/>
  <c r="E295" i="5"/>
  <c r="P294" i="5"/>
  <c r="O294" i="5"/>
  <c r="C294" i="5"/>
  <c r="B294" i="5"/>
  <c r="P293" i="5"/>
  <c r="O293" i="5"/>
  <c r="C293" i="5"/>
  <c r="B293" i="5"/>
  <c r="P292" i="5"/>
  <c r="Q292" i="5" s="1"/>
  <c r="T648" i="3" s="1"/>
  <c r="O292" i="5"/>
  <c r="C292" i="5"/>
  <c r="B292" i="5"/>
  <c r="P291" i="5"/>
  <c r="O291" i="5"/>
  <c r="C291" i="5"/>
  <c r="B291" i="5"/>
  <c r="P290" i="5"/>
  <c r="O290" i="5"/>
  <c r="AC290" i="5" s="1"/>
  <c r="C290" i="5"/>
  <c r="B290" i="5"/>
  <c r="P289" i="5"/>
  <c r="O289" i="5"/>
  <c r="C289" i="5"/>
  <c r="B289" i="5"/>
  <c r="P288" i="5"/>
  <c r="O288" i="5"/>
  <c r="C288" i="5"/>
  <c r="B288" i="5"/>
  <c r="P287" i="5"/>
  <c r="O287" i="5"/>
  <c r="C287" i="5"/>
  <c r="B287" i="5"/>
  <c r="AC286" i="5"/>
  <c r="V286" i="5"/>
  <c r="U286" i="5"/>
  <c r="Q286" i="5"/>
  <c r="U285" i="5"/>
  <c r="U284" i="5"/>
  <c r="R284" i="5"/>
  <c r="N284" i="5"/>
  <c r="M284" i="5"/>
  <c r="L284" i="5"/>
  <c r="K284" i="5"/>
  <c r="J284" i="5"/>
  <c r="I284" i="5"/>
  <c r="H284" i="5"/>
  <c r="G284" i="5"/>
  <c r="F284" i="5"/>
  <c r="E284" i="5"/>
  <c r="P283" i="5"/>
  <c r="Q283" i="5" s="1"/>
  <c r="T638" i="3" s="1"/>
  <c r="O283" i="5"/>
  <c r="C283" i="5"/>
  <c r="B283" i="5"/>
  <c r="P282" i="5"/>
  <c r="O282" i="5"/>
  <c r="C282" i="5"/>
  <c r="B282" i="5"/>
  <c r="P281" i="5"/>
  <c r="Q281" i="5" s="1"/>
  <c r="T636" i="3" s="1"/>
  <c r="O281" i="5"/>
  <c r="C281" i="5"/>
  <c r="B281" i="5"/>
  <c r="P280" i="5"/>
  <c r="O280" i="5"/>
  <c r="C280" i="5"/>
  <c r="B280" i="5"/>
  <c r="P279" i="5"/>
  <c r="Q279" i="5" s="1"/>
  <c r="T634" i="3" s="1"/>
  <c r="O279" i="5"/>
  <c r="C279" i="5"/>
  <c r="B279" i="5"/>
  <c r="P278" i="5"/>
  <c r="O278" i="5"/>
  <c r="C278" i="5"/>
  <c r="B278" i="5"/>
  <c r="P277" i="5"/>
  <c r="O277" i="5"/>
  <c r="C277" i="5"/>
  <c r="B277" i="5"/>
  <c r="P276" i="5"/>
  <c r="O276" i="5"/>
  <c r="C276" i="5"/>
  <c r="B276" i="5"/>
  <c r="P275" i="5"/>
  <c r="Q275" i="5" s="1"/>
  <c r="T630" i="3" s="1"/>
  <c r="O275" i="5"/>
  <c r="C275" i="5"/>
  <c r="B275" i="5"/>
  <c r="P274" i="5"/>
  <c r="O274" i="5"/>
  <c r="C274" i="5"/>
  <c r="B274" i="5"/>
  <c r="P273" i="5"/>
  <c r="Q273" i="5" s="1"/>
  <c r="T628" i="3" s="1"/>
  <c r="O273" i="5"/>
  <c r="C273" i="5"/>
  <c r="B273" i="5"/>
  <c r="P272" i="5"/>
  <c r="O272" i="5"/>
  <c r="C272" i="5"/>
  <c r="B272" i="5"/>
  <c r="Q271" i="5"/>
  <c r="T626" i="3" s="1"/>
  <c r="P271" i="5"/>
  <c r="O271" i="5"/>
  <c r="C271" i="5"/>
  <c r="B271" i="5"/>
  <c r="P270" i="5"/>
  <c r="O270" i="5"/>
  <c r="C270" i="5"/>
  <c r="B270" i="5"/>
  <c r="U269" i="5"/>
  <c r="R269" i="5"/>
  <c r="N269" i="5"/>
  <c r="M269" i="5"/>
  <c r="L269" i="5"/>
  <c r="K269" i="5"/>
  <c r="J269" i="5"/>
  <c r="I269" i="5"/>
  <c r="H269" i="5"/>
  <c r="G269" i="5"/>
  <c r="F269" i="5"/>
  <c r="E269" i="5"/>
  <c r="P268" i="5"/>
  <c r="O268" i="5"/>
  <c r="C268" i="5"/>
  <c r="B268" i="5"/>
  <c r="P267" i="5"/>
  <c r="O267" i="5"/>
  <c r="C267" i="5"/>
  <c r="B267" i="5"/>
  <c r="P266" i="5"/>
  <c r="O266" i="5"/>
  <c r="C266" i="5"/>
  <c r="B266" i="5"/>
  <c r="O265" i="5"/>
  <c r="AC265" i="5" s="1"/>
  <c r="C265" i="5"/>
  <c r="B265" i="5"/>
  <c r="P264" i="5"/>
  <c r="AC264" i="5" s="1"/>
  <c r="O264" i="5"/>
  <c r="C264" i="5"/>
  <c r="B264" i="5"/>
  <c r="AC263" i="5"/>
  <c r="P263" i="5"/>
  <c r="O263" i="5"/>
  <c r="C263" i="5"/>
  <c r="B263" i="5"/>
  <c r="P262" i="5"/>
  <c r="O262" i="5"/>
  <c r="C262" i="5"/>
  <c r="B262" i="5"/>
  <c r="P261" i="5"/>
  <c r="O261" i="5"/>
  <c r="C261" i="5"/>
  <c r="B261" i="5"/>
  <c r="P260" i="5"/>
  <c r="O260" i="5"/>
  <c r="C260" i="5"/>
  <c r="B260" i="5"/>
  <c r="P259" i="5"/>
  <c r="O259" i="5"/>
  <c r="C259" i="5"/>
  <c r="B259" i="5"/>
  <c r="P258" i="5"/>
  <c r="O258" i="5"/>
  <c r="C258" i="5"/>
  <c r="B258" i="5"/>
  <c r="P257" i="5"/>
  <c r="O257" i="5"/>
  <c r="C257" i="5"/>
  <c r="B257" i="5"/>
  <c r="P256" i="5"/>
  <c r="Q256" i="5" s="1"/>
  <c r="T611" i="3" s="1"/>
  <c r="O256" i="5"/>
  <c r="C256" i="5"/>
  <c r="B256" i="5"/>
  <c r="P255" i="5"/>
  <c r="Q255" i="5" s="1"/>
  <c r="T610" i="3" s="1"/>
  <c r="O255" i="5"/>
  <c r="C255" i="5"/>
  <c r="B255" i="5"/>
  <c r="P254" i="5"/>
  <c r="O254" i="5"/>
  <c r="C254" i="5"/>
  <c r="B254" i="5"/>
  <c r="P253" i="5"/>
  <c r="O253" i="5"/>
  <c r="C253" i="5"/>
  <c r="B253" i="5"/>
  <c r="P252" i="5"/>
  <c r="O252" i="5"/>
  <c r="C252" i="5"/>
  <c r="B252" i="5"/>
  <c r="P251" i="5"/>
  <c r="Q251" i="5" s="1"/>
  <c r="T606" i="3" s="1"/>
  <c r="O251" i="5"/>
  <c r="C251" i="5"/>
  <c r="B251" i="5"/>
  <c r="P250" i="5"/>
  <c r="Q250" i="5" s="1"/>
  <c r="T605" i="3" s="1"/>
  <c r="O250" i="5"/>
  <c r="C250" i="5"/>
  <c r="B250" i="5"/>
  <c r="P249" i="5"/>
  <c r="O249" i="5"/>
  <c r="C249" i="5"/>
  <c r="B249" i="5"/>
  <c r="P248" i="5"/>
  <c r="O248" i="5"/>
  <c r="C248" i="5"/>
  <c r="B248" i="5"/>
  <c r="P247" i="5"/>
  <c r="O247" i="5"/>
  <c r="AC247" i="5" s="1"/>
  <c r="C247" i="5"/>
  <c r="B247" i="5"/>
  <c r="P246" i="5"/>
  <c r="O246" i="5"/>
  <c r="C246" i="5"/>
  <c r="B246" i="5"/>
  <c r="P245" i="5"/>
  <c r="O245" i="5"/>
  <c r="AC245" i="5" s="1"/>
  <c r="AC244" i="5"/>
  <c r="V244" i="5"/>
  <c r="U244" i="5"/>
  <c r="Q244" i="5"/>
  <c r="U243" i="5"/>
  <c r="U242" i="5"/>
  <c r="R242" i="5"/>
  <c r="N242" i="5"/>
  <c r="M242" i="5"/>
  <c r="L242" i="5"/>
  <c r="K242" i="5"/>
  <c r="J242" i="5"/>
  <c r="I242" i="5"/>
  <c r="H242" i="5"/>
  <c r="G242" i="5"/>
  <c r="F242" i="5"/>
  <c r="E242" i="5"/>
  <c r="P241" i="5"/>
  <c r="Q241" i="5" s="1"/>
  <c r="T596" i="3" s="1"/>
  <c r="O241" i="5"/>
  <c r="C241" i="5"/>
  <c r="B241" i="5"/>
  <c r="P240" i="5"/>
  <c r="Q240" i="5" s="1"/>
  <c r="T595" i="3" s="1"/>
  <c r="O240" i="5"/>
  <c r="C240" i="5"/>
  <c r="B240" i="5"/>
  <c r="P239" i="5"/>
  <c r="Q239" i="5" s="1"/>
  <c r="T594" i="3" s="1"/>
  <c r="O239" i="5"/>
  <c r="C239" i="5"/>
  <c r="B239" i="5"/>
  <c r="P238" i="5"/>
  <c r="O238" i="5"/>
  <c r="C238" i="5"/>
  <c r="B238" i="5"/>
  <c r="P237" i="5"/>
  <c r="O237" i="5"/>
  <c r="C237" i="5"/>
  <c r="B237" i="5"/>
  <c r="P236" i="5"/>
  <c r="Q236" i="5" s="1"/>
  <c r="T591" i="3" s="1"/>
  <c r="O236" i="5"/>
  <c r="C236" i="5"/>
  <c r="B236" i="5"/>
  <c r="P235" i="5"/>
  <c r="Q235" i="5" s="1"/>
  <c r="T590" i="3" s="1"/>
  <c r="O235" i="5"/>
  <c r="C235" i="5"/>
  <c r="B235" i="5"/>
  <c r="P234" i="5"/>
  <c r="Q234" i="5" s="1"/>
  <c r="T589" i="3" s="1"/>
  <c r="O234" i="5"/>
  <c r="C234" i="5"/>
  <c r="B234" i="5"/>
  <c r="P233" i="5"/>
  <c r="Q233" i="5" s="1"/>
  <c r="T588" i="3" s="1"/>
  <c r="O233" i="5"/>
  <c r="C233" i="5"/>
  <c r="B233" i="5"/>
  <c r="P232" i="5"/>
  <c r="AC232" i="5" s="1"/>
  <c r="O232" i="5"/>
  <c r="C232" i="5"/>
  <c r="B232" i="5"/>
  <c r="P231" i="5"/>
  <c r="Q231" i="5" s="1"/>
  <c r="T586" i="3" s="1"/>
  <c r="O231" i="5"/>
  <c r="C231" i="5"/>
  <c r="B231" i="5"/>
  <c r="P230" i="5"/>
  <c r="AC230" i="5" s="1"/>
  <c r="O230" i="5"/>
  <c r="C230" i="5"/>
  <c r="B230" i="5"/>
  <c r="P229" i="5"/>
  <c r="O229" i="5"/>
  <c r="C229" i="5"/>
  <c r="B229" i="5"/>
  <c r="P228" i="5"/>
  <c r="O228" i="5"/>
  <c r="C228" i="5"/>
  <c r="B228" i="5"/>
  <c r="U227" i="5"/>
  <c r="R227" i="5"/>
  <c r="N227" i="5"/>
  <c r="M227" i="5"/>
  <c r="L227" i="5"/>
  <c r="K227" i="5"/>
  <c r="J227" i="5"/>
  <c r="I227" i="5"/>
  <c r="H227" i="5"/>
  <c r="G227" i="5"/>
  <c r="F227" i="5"/>
  <c r="E227" i="5"/>
  <c r="P226" i="5"/>
  <c r="O226" i="5"/>
  <c r="C226" i="5"/>
  <c r="B226" i="5"/>
  <c r="P225" i="5"/>
  <c r="AC225" i="5" s="1"/>
  <c r="O225" i="5"/>
  <c r="C225" i="5"/>
  <c r="B225" i="5"/>
  <c r="AC224" i="5"/>
  <c r="P224" i="5"/>
  <c r="O224" i="5"/>
  <c r="C224" i="5"/>
  <c r="B224" i="5"/>
  <c r="P223" i="5"/>
  <c r="O223" i="5"/>
  <c r="C223" i="5"/>
  <c r="B223" i="5"/>
  <c r="C222" i="5"/>
  <c r="B222" i="5"/>
  <c r="R221" i="5"/>
  <c r="Q221" i="5"/>
  <c r="P220" i="5"/>
  <c r="O220" i="5"/>
  <c r="C220" i="5"/>
  <c r="B220" i="5"/>
  <c r="P219" i="5"/>
  <c r="AC219" i="5" s="1"/>
  <c r="O219" i="5"/>
  <c r="C219" i="5"/>
  <c r="B219" i="5"/>
  <c r="P218" i="5"/>
  <c r="O218" i="5"/>
  <c r="C218" i="5"/>
  <c r="B218" i="5"/>
  <c r="P217" i="5"/>
  <c r="O217" i="5"/>
  <c r="C217" i="5"/>
  <c r="B217" i="5"/>
  <c r="U216" i="5"/>
  <c r="T216" i="5"/>
  <c r="S216" i="5"/>
  <c r="R216" i="5"/>
  <c r="N216" i="5"/>
  <c r="M216" i="5"/>
  <c r="L216" i="5"/>
  <c r="K216" i="5"/>
  <c r="J216" i="5"/>
  <c r="I216" i="5"/>
  <c r="H216" i="5"/>
  <c r="G216" i="5"/>
  <c r="F216" i="5"/>
  <c r="E216" i="5"/>
  <c r="P215" i="5"/>
  <c r="O215" i="5"/>
  <c r="C215" i="5"/>
  <c r="B215" i="5"/>
  <c r="P214" i="5"/>
  <c r="O214" i="5"/>
  <c r="C214" i="5"/>
  <c r="B214" i="5"/>
  <c r="P213" i="5"/>
  <c r="AC213" i="5" s="1"/>
  <c r="O213" i="5"/>
  <c r="C213" i="5"/>
  <c r="B213" i="5"/>
  <c r="P212" i="5"/>
  <c r="Q212" i="5" s="1"/>
  <c r="T567" i="3" s="1"/>
  <c r="O212" i="5"/>
  <c r="C212" i="5"/>
  <c r="B212" i="5"/>
  <c r="P211" i="5"/>
  <c r="O211" i="5"/>
  <c r="C211" i="5"/>
  <c r="B211" i="5"/>
  <c r="P210" i="5"/>
  <c r="O210" i="5"/>
  <c r="C210" i="5"/>
  <c r="B210" i="5"/>
  <c r="P209" i="5"/>
  <c r="O209" i="5"/>
  <c r="C209" i="5"/>
  <c r="B209" i="5"/>
  <c r="P208" i="5"/>
  <c r="Q208" i="5" s="1"/>
  <c r="T563" i="3" s="1"/>
  <c r="O208" i="5"/>
  <c r="C208" i="5"/>
  <c r="B208" i="5"/>
  <c r="P207" i="5"/>
  <c r="Q207" i="5" s="1"/>
  <c r="T562" i="3" s="1"/>
  <c r="O207" i="5"/>
  <c r="C207" i="5"/>
  <c r="B207" i="5"/>
  <c r="P206" i="5"/>
  <c r="O206" i="5"/>
  <c r="C206" i="5"/>
  <c r="B206" i="5"/>
  <c r="P205" i="5"/>
  <c r="Q205" i="5" s="1"/>
  <c r="T560" i="3" s="1"/>
  <c r="O205" i="5"/>
  <c r="C205" i="5"/>
  <c r="B205" i="5"/>
  <c r="P204" i="5"/>
  <c r="Q204" i="5" s="1"/>
  <c r="T559" i="3" s="1"/>
  <c r="O204" i="5"/>
  <c r="C204" i="5"/>
  <c r="B204" i="5"/>
  <c r="P203" i="5"/>
  <c r="Q203" i="5" s="1"/>
  <c r="T558" i="3" s="1"/>
  <c r="O203" i="5"/>
  <c r="C203" i="5"/>
  <c r="B203" i="5"/>
  <c r="P202" i="5"/>
  <c r="O202" i="5"/>
  <c r="C202" i="5"/>
  <c r="B202" i="5"/>
  <c r="AC201" i="5"/>
  <c r="P201" i="5"/>
  <c r="O201" i="5"/>
  <c r="C201" i="5"/>
  <c r="B201" i="5"/>
  <c r="Q200" i="5"/>
  <c r="T555" i="3" s="1"/>
  <c r="P200" i="5"/>
  <c r="O200" i="5"/>
  <c r="C200" i="5"/>
  <c r="B200" i="5"/>
  <c r="P199" i="5"/>
  <c r="O199" i="5"/>
  <c r="C199" i="5"/>
  <c r="B199" i="5"/>
  <c r="P198" i="5"/>
  <c r="Q198" i="5" s="1"/>
  <c r="T553" i="3" s="1"/>
  <c r="O198" i="5"/>
  <c r="C198" i="5"/>
  <c r="B198" i="5"/>
  <c r="P197" i="5"/>
  <c r="O197" i="5"/>
  <c r="C197" i="5"/>
  <c r="B197" i="5"/>
  <c r="P196" i="5"/>
  <c r="O196" i="5"/>
  <c r="C196" i="5"/>
  <c r="B196" i="5"/>
  <c r="P195" i="5"/>
  <c r="Q195" i="5" s="1"/>
  <c r="T550" i="3" s="1"/>
  <c r="O195" i="5"/>
  <c r="AC195" i="5" s="1"/>
  <c r="C195" i="5"/>
  <c r="B195" i="5"/>
  <c r="P194" i="5"/>
  <c r="O194" i="5"/>
  <c r="C194" i="5"/>
  <c r="B194" i="5"/>
  <c r="P193" i="5"/>
  <c r="O193" i="5"/>
  <c r="C193" i="5"/>
  <c r="B193" i="5"/>
  <c r="P192" i="5"/>
  <c r="O192" i="5"/>
  <c r="C192" i="5"/>
  <c r="B192" i="5"/>
  <c r="P191" i="5"/>
  <c r="Q191" i="5" s="1"/>
  <c r="T546" i="3" s="1"/>
  <c r="O191" i="5"/>
  <c r="C191" i="5"/>
  <c r="B191" i="5"/>
  <c r="P190" i="5"/>
  <c r="Q190" i="5" s="1"/>
  <c r="T545" i="3" s="1"/>
  <c r="O190" i="5"/>
  <c r="C190" i="5"/>
  <c r="B190" i="5"/>
  <c r="P189" i="5"/>
  <c r="Q189" i="5" s="1"/>
  <c r="T544" i="3" s="1"/>
  <c r="O189" i="5"/>
  <c r="C189" i="5"/>
  <c r="B189" i="5"/>
  <c r="P188" i="5"/>
  <c r="O188" i="5"/>
  <c r="C188" i="5"/>
  <c r="B188" i="5"/>
  <c r="P187" i="5"/>
  <c r="O187" i="5"/>
  <c r="AC187" i="5" s="1"/>
  <c r="C187" i="5"/>
  <c r="B187" i="5"/>
  <c r="P186" i="5"/>
  <c r="Q186" i="5" s="1"/>
  <c r="T541" i="3" s="1"/>
  <c r="O186" i="5"/>
  <c r="C186" i="5"/>
  <c r="B186" i="5"/>
  <c r="P185" i="5"/>
  <c r="O185" i="5"/>
  <c r="C185" i="5"/>
  <c r="B185" i="5"/>
  <c r="P184" i="5"/>
  <c r="AC184" i="5" s="1"/>
  <c r="O184" i="5"/>
  <c r="C184" i="5"/>
  <c r="B184" i="5"/>
  <c r="P183" i="5"/>
  <c r="O183" i="5"/>
  <c r="C183" i="5"/>
  <c r="B183" i="5"/>
  <c r="P182" i="5"/>
  <c r="Q182" i="5" s="1"/>
  <c r="T537" i="3" s="1"/>
  <c r="O182" i="5"/>
  <c r="C182" i="5"/>
  <c r="B182" i="5"/>
  <c r="P181" i="5"/>
  <c r="O181" i="5"/>
  <c r="C181" i="5"/>
  <c r="B181" i="5"/>
  <c r="Q180" i="5"/>
  <c r="T535" i="3" s="1"/>
  <c r="P180" i="5"/>
  <c r="O180" i="5"/>
  <c r="C180" i="5"/>
  <c r="B180" i="5"/>
  <c r="P179" i="5"/>
  <c r="O179" i="5"/>
  <c r="C179" i="5"/>
  <c r="B179" i="5"/>
  <c r="R178" i="5"/>
  <c r="Q178" i="5"/>
  <c r="P177" i="5"/>
  <c r="P178" i="5" s="1"/>
  <c r="O177" i="5"/>
  <c r="O178" i="5" s="1"/>
  <c r="C177" i="5"/>
  <c r="B177" i="5"/>
  <c r="Q175" i="5"/>
  <c r="T530" i="3" s="1"/>
  <c r="P175" i="5"/>
  <c r="O175" i="5"/>
  <c r="C175" i="5"/>
  <c r="B175" i="5"/>
  <c r="Q174" i="5"/>
  <c r="T529" i="3" s="1"/>
  <c r="P174" i="5"/>
  <c r="O174" i="5"/>
  <c r="C174" i="5"/>
  <c r="B174" i="5"/>
  <c r="Q173" i="5"/>
  <c r="T528" i="3" s="1"/>
  <c r="P173" i="5"/>
  <c r="O173" i="5"/>
  <c r="C173" i="5"/>
  <c r="B173" i="5"/>
  <c r="R172" i="5"/>
  <c r="P171" i="5"/>
  <c r="P172" i="5" s="1"/>
  <c r="O171" i="5"/>
  <c r="C171" i="5"/>
  <c r="B171" i="5"/>
  <c r="Q170" i="5"/>
  <c r="P170" i="5"/>
  <c r="O170" i="5"/>
  <c r="C170" i="5"/>
  <c r="B170" i="5"/>
  <c r="P169" i="5"/>
  <c r="O169" i="5"/>
  <c r="C169" i="5"/>
  <c r="B169" i="5"/>
  <c r="C168" i="5"/>
  <c r="B168" i="5"/>
  <c r="U167" i="5"/>
  <c r="T167" i="5"/>
  <c r="S167" i="5"/>
  <c r="R167" i="5"/>
  <c r="N167" i="5"/>
  <c r="M167" i="5"/>
  <c r="L167" i="5"/>
  <c r="K167" i="5"/>
  <c r="J167" i="5"/>
  <c r="I167" i="5"/>
  <c r="H167" i="5"/>
  <c r="G167" i="5"/>
  <c r="F167" i="5"/>
  <c r="E167" i="5"/>
  <c r="P166" i="5"/>
  <c r="Q166" i="5" s="1"/>
  <c r="T518" i="3" s="1"/>
  <c r="O166" i="5"/>
  <c r="C166" i="5"/>
  <c r="B166" i="5"/>
  <c r="P165" i="5"/>
  <c r="O165" i="5"/>
  <c r="C165" i="5"/>
  <c r="B165" i="5"/>
  <c r="P164" i="5"/>
  <c r="O164" i="5"/>
  <c r="C164" i="5"/>
  <c r="B164" i="5"/>
  <c r="P163" i="5"/>
  <c r="O163" i="5"/>
  <c r="C163" i="5"/>
  <c r="B163" i="5"/>
  <c r="P162" i="5"/>
  <c r="O162" i="5"/>
  <c r="C162" i="5"/>
  <c r="B162" i="5"/>
  <c r="P161" i="5"/>
  <c r="Q161" i="5" s="1"/>
  <c r="T513" i="3" s="1"/>
  <c r="O161" i="5"/>
  <c r="C161" i="5"/>
  <c r="B161" i="5"/>
  <c r="AC160" i="5"/>
  <c r="O160" i="5"/>
  <c r="C160" i="5"/>
  <c r="B160" i="5"/>
  <c r="Q159" i="5"/>
  <c r="T511" i="3" s="1"/>
  <c r="P159" i="5"/>
  <c r="O159" i="5"/>
  <c r="C159" i="5"/>
  <c r="B159" i="5"/>
  <c r="P158" i="5"/>
  <c r="O158" i="5"/>
  <c r="C158" i="5"/>
  <c r="B158" i="5"/>
  <c r="P157" i="5"/>
  <c r="O157" i="5"/>
  <c r="C157" i="5"/>
  <c r="B157" i="5"/>
  <c r="P156" i="5"/>
  <c r="O156" i="5"/>
  <c r="C156" i="5"/>
  <c r="B156" i="5"/>
  <c r="P155" i="5"/>
  <c r="Q155" i="5" s="1"/>
  <c r="T507" i="3" s="1"/>
  <c r="O155" i="5"/>
  <c r="C155" i="5"/>
  <c r="B155" i="5"/>
  <c r="P154" i="5"/>
  <c r="Q154" i="5" s="1"/>
  <c r="T506" i="3" s="1"/>
  <c r="T522" i="3" s="1"/>
  <c r="O154" i="5"/>
  <c r="C154" i="5"/>
  <c r="B154" i="5"/>
  <c r="P153" i="5"/>
  <c r="O153" i="5"/>
  <c r="AC153" i="5" s="1"/>
  <c r="C153" i="5"/>
  <c r="B153" i="5"/>
  <c r="P152" i="5"/>
  <c r="O152" i="5"/>
  <c r="C152" i="5"/>
  <c r="B152" i="5"/>
  <c r="P151" i="5"/>
  <c r="O151" i="5"/>
  <c r="C151" i="5"/>
  <c r="B151" i="5"/>
  <c r="P150" i="5"/>
  <c r="O150" i="5"/>
  <c r="O167" i="5" s="1"/>
  <c r="C150" i="5"/>
  <c r="B150" i="5"/>
  <c r="C149" i="5"/>
  <c r="B149" i="5"/>
  <c r="U148" i="5"/>
  <c r="R148" i="5"/>
  <c r="N148" i="5"/>
  <c r="M148" i="5"/>
  <c r="L148" i="5"/>
  <c r="K148" i="5"/>
  <c r="J148" i="5"/>
  <c r="I148" i="5"/>
  <c r="H148" i="5"/>
  <c r="G148" i="5"/>
  <c r="F148" i="5"/>
  <c r="E148" i="5"/>
  <c r="O147" i="5"/>
  <c r="AC147" i="5" s="1"/>
  <c r="C147" i="5"/>
  <c r="B147" i="5"/>
  <c r="Q146" i="5"/>
  <c r="T495" i="3" s="1"/>
  <c r="P146" i="5"/>
  <c r="O146" i="5"/>
  <c r="C146" i="5"/>
  <c r="B146" i="5"/>
  <c r="P145" i="5"/>
  <c r="AC145" i="5" s="1"/>
  <c r="O145" i="5"/>
  <c r="C145" i="5"/>
  <c r="B145" i="5"/>
  <c r="P144" i="5"/>
  <c r="O144" i="5"/>
  <c r="C144" i="5"/>
  <c r="B144" i="5"/>
  <c r="O143" i="5"/>
  <c r="AC143" i="5" s="1"/>
  <c r="C143" i="5"/>
  <c r="B143" i="5"/>
  <c r="P142" i="5"/>
  <c r="O142" i="5"/>
  <c r="C142" i="5"/>
  <c r="B142" i="5"/>
  <c r="Q141" i="5"/>
  <c r="T490" i="3" s="1"/>
  <c r="P141" i="5"/>
  <c r="O141" i="5"/>
  <c r="C141" i="5"/>
  <c r="B141" i="5"/>
  <c r="P140" i="5"/>
  <c r="O140" i="5"/>
  <c r="C140" i="5"/>
  <c r="B140" i="5"/>
  <c r="P139" i="5"/>
  <c r="Q139" i="5" s="1"/>
  <c r="T488" i="3" s="1"/>
  <c r="O139" i="5"/>
  <c r="C139" i="5"/>
  <c r="B139" i="5"/>
  <c r="P138" i="5"/>
  <c r="O138" i="5"/>
  <c r="C138" i="5"/>
  <c r="B138" i="5"/>
  <c r="P137" i="5"/>
  <c r="O137" i="5"/>
  <c r="AC137" i="5" s="1"/>
  <c r="C137" i="5"/>
  <c r="B137" i="5"/>
  <c r="U136" i="5"/>
  <c r="R136" i="5"/>
  <c r="N136" i="5"/>
  <c r="M136" i="5"/>
  <c r="L136" i="5"/>
  <c r="K136" i="5"/>
  <c r="J136" i="5"/>
  <c r="I136" i="5"/>
  <c r="H136" i="5"/>
  <c r="G136" i="5"/>
  <c r="F136" i="5"/>
  <c r="E136" i="5"/>
  <c r="P135" i="5"/>
  <c r="O135" i="5"/>
  <c r="C135" i="5"/>
  <c r="B135" i="5"/>
  <c r="P134" i="5"/>
  <c r="O134" i="5"/>
  <c r="C134" i="5"/>
  <c r="B134" i="5"/>
  <c r="P133" i="5"/>
  <c r="Q133" i="5" s="1"/>
  <c r="T482" i="3" s="1"/>
  <c r="O133" i="5"/>
  <c r="C133" i="5"/>
  <c r="B133" i="5"/>
  <c r="P132" i="5"/>
  <c r="Q132" i="5" s="1"/>
  <c r="T481" i="3" s="1"/>
  <c r="O132" i="5"/>
  <c r="AC132" i="5" s="1"/>
  <c r="C132" i="5"/>
  <c r="B132" i="5"/>
  <c r="P131" i="5"/>
  <c r="Q131" i="5" s="1"/>
  <c r="T480" i="3" s="1"/>
  <c r="O131" i="5"/>
  <c r="C131" i="5"/>
  <c r="B131" i="5"/>
  <c r="P130" i="5"/>
  <c r="O130" i="5"/>
  <c r="C130" i="5"/>
  <c r="B130" i="5"/>
  <c r="P129" i="5"/>
  <c r="O129" i="5"/>
  <c r="O136" i="5" s="1"/>
  <c r="C129" i="5"/>
  <c r="B129" i="5"/>
  <c r="AC128" i="5"/>
  <c r="V128" i="5"/>
  <c r="U128" i="5"/>
  <c r="Q128" i="5"/>
  <c r="U127" i="5"/>
  <c r="U126" i="5"/>
  <c r="R126" i="5"/>
  <c r="N126" i="5"/>
  <c r="M126" i="5"/>
  <c r="L126" i="5"/>
  <c r="K126" i="5"/>
  <c r="J126" i="5"/>
  <c r="I126" i="5"/>
  <c r="H126" i="5"/>
  <c r="G126" i="5"/>
  <c r="F126" i="5"/>
  <c r="E126" i="5"/>
  <c r="P125" i="5"/>
  <c r="O125" i="5"/>
  <c r="C125" i="5"/>
  <c r="B125" i="5"/>
  <c r="P124" i="5"/>
  <c r="Q124" i="5" s="1"/>
  <c r="T473" i="3" s="1"/>
  <c r="O124" i="5"/>
  <c r="C124" i="5"/>
  <c r="B124" i="5"/>
  <c r="P123" i="5"/>
  <c r="O123" i="5"/>
  <c r="C123" i="5"/>
  <c r="B123" i="5"/>
  <c r="P122" i="5"/>
  <c r="Q122" i="5" s="1"/>
  <c r="T471" i="3" s="1"/>
  <c r="O122" i="5"/>
  <c r="C122" i="5"/>
  <c r="B122" i="5"/>
  <c r="P121" i="5"/>
  <c r="P126" i="5" s="1"/>
  <c r="O121" i="5"/>
  <c r="C121" i="5"/>
  <c r="B121" i="5"/>
  <c r="C120" i="5"/>
  <c r="B120" i="5"/>
  <c r="U119" i="5"/>
  <c r="R119" i="5"/>
  <c r="N119" i="5"/>
  <c r="M119" i="5"/>
  <c r="L119" i="5"/>
  <c r="K119" i="5"/>
  <c r="J119" i="5"/>
  <c r="I119" i="5"/>
  <c r="H119" i="5"/>
  <c r="G119" i="5"/>
  <c r="F119" i="5"/>
  <c r="E119" i="5"/>
  <c r="P118" i="5"/>
  <c r="O118" i="5"/>
  <c r="C118" i="5"/>
  <c r="B118" i="5"/>
  <c r="P117" i="5"/>
  <c r="O117" i="5"/>
  <c r="C117" i="5"/>
  <c r="B117" i="5"/>
  <c r="P116" i="5"/>
  <c r="O116" i="5"/>
  <c r="C116" i="5"/>
  <c r="B116" i="5"/>
  <c r="P115" i="5"/>
  <c r="O115" i="5"/>
  <c r="C115" i="5"/>
  <c r="B115" i="5"/>
  <c r="P114" i="5"/>
  <c r="O114" i="5"/>
  <c r="C114" i="5"/>
  <c r="B114" i="5"/>
  <c r="P113" i="5"/>
  <c r="Q113" i="5" s="1"/>
  <c r="T462" i="3" s="1"/>
  <c r="O113" i="5"/>
  <c r="C113" i="5"/>
  <c r="B113" i="5"/>
  <c r="P112" i="5"/>
  <c r="O112" i="5"/>
  <c r="C112" i="5"/>
  <c r="B112" i="5"/>
  <c r="P111" i="5"/>
  <c r="Q111" i="5" s="1"/>
  <c r="T460" i="3" s="1"/>
  <c r="O111" i="5"/>
  <c r="AC111" i="5" s="1"/>
  <c r="C111" i="5"/>
  <c r="B111" i="5"/>
  <c r="P110" i="5"/>
  <c r="O110" i="5"/>
  <c r="AC110" i="5" s="1"/>
  <c r="C110" i="5"/>
  <c r="B110" i="5"/>
  <c r="P109" i="5"/>
  <c r="Q109" i="5" s="1"/>
  <c r="T458" i="3" s="1"/>
  <c r="O109" i="5"/>
  <c r="C109" i="5"/>
  <c r="B109" i="5"/>
  <c r="P108" i="5"/>
  <c r="Q108" i="5" s="1"/>
  <c r="T457" i="3" s="1"/>
  <c r="O108" i="5"/>
  <c r="AC108" i="5" s="1"/>
  <c r="C108" i="5"/>
  <c r="B108" i="5"/>
  <c r="P107" i="5"/>
  <c r="O107" i="5"/>
  <c r="C107" i="5"/>
  <c r="B107" i="5"/>
  <c r="P106" i="5"/>
  <c r="O106" i="5"/>
  <c r="C106" i="5"/>
  <c r="B106" i="5"/>
  <c r="P105" i="5"/>
  <c r="Q105" i="5" s="1"/>
  <c r="T454" i="3" s="1"/>
  <c r="O105" i="5"/>
  <c r="C105" i="5"/>
  <c r="B105" i="5"/>
  <c r="U104" i="5"/>
  <c r="R104" i="5"/>
  <c r="N104" i="5"/>
  <c r="M104" i="5"/>
  <c r="L104" i="5"/>
  <c r="K104" i="5"/>
  <c r="J104" i="5"/>
  <c r="I104" i="5"/>
  <c r="H104" i="5"/>
  <c r="G104" i="5"/>
  <c r="F104" i="5"/>
  <c r="E104" i="5"/>
  <c r="P103" i="5"/>
  <c r="Q103" i="5" s="1"/>
  <c r="T452" i="3" s="1"/>
  <c r="O103" i="5"/>
  <c r="C103" i="5"/>
  <c r="B103" i="5"/>
  <c r="P102" i="5"/>
  <c r="O102" i="5"/>
  <c r="AC102" i="5" s="1"/>
  <c r="C102" i="5"/>
  <c r="B102" i="5"/>
  <c r="P101" i="5"/>
  <c r="O101" i="5"/>
  <c r="C101" i="5"/>
  <c r="B101" i="5"/>
  <c r="P100" i="5"/>
  <c r="Q100" i="5" s="1"/>
  <c r="T449" i="3" s="1"/>
  <c r="O100" i="5"/>
  <c r="C100" i="5"/>
  <c r="B100" i="5"/>
  <c r="P99" i="5"/>
  <c r="Q99" i="5" s="1"/>
  <c r="T448" i="3" s="1"/>
  <c r="O99" i="5"/>
  <c r="C99" i="5"/>
  <c r="B99" i="5"/>
  <c r="P98" i="5"/>
  <c r="O98" i="5"/>
  <c r="C98" i="5"/>
  <c r="B98" i="5"/>
  <c r="P97" i="5"/>
  <c r="O97" i="5"/>
  <c r="C97" i="5"/>
  <c r="B97" i="5"/>
  <c r="C96" i="5"/>
  <c r="B96" i="5"/>
  <c r="U95" i="5"/>
  <c r="T95" i="5"/>
  <c r="S95" i="5"/>
  <c r="R95" i="5"/>
  <c r="Q95" i="5"/>
  <c r="N95" i="5"/>
  <c r="M95" i="5"/>
  <c r="L95" i="5"/>
  <c r="K95" i="5"/>
  <c r="J95" i="5"/>
  <c r="I95" i="5"/>
  <c r="H95" i="5"/>
  <c r="G95" i="5"/>
  <c r="F95" i="5"/>
  <c r="E95" i="5"/>
  <c r="P94" i="5"/>
  <c r="O94" i="5"/>
  <c r="C94" i="5"/>
  <c r="B94" i="5"/>
  <c r="P93" i="5"/>
  <c r="P95" i="5" s="1"/>
  <c r="O93" i="5"/>
  <c r="C93" i="5"/>
  <c r="B93" i="5"/>
  <c r="O92" i="5"/>
  <c r="C92" i="5"/>
  <c r="B92" i="5"/>
  <c r="U91" i="5"/>
  <c r="R91" i="5"/>
  <c r="N91" i="5"/>
  <c r="M91" i="5"/>
  <c r="L91" i="5"/>
  <c r="K91" i="5"/>
  <c r="J91" i="5"/>
  <c r="I91" i="5"/>
  <c r="H91" i="5"/>
  <c r="G91" i="5"/>
  <c r="F91" i="5"/>
  <c r="E91" i="5"/>
  <c r="P90" i="5"/>
  <c r="O90" i="5"/>
  <c r="C90" i="5"/>
  <c r="B90" i="5"/>
  <c r="P89" i="5"/>
  <c r="O89" i="5"/>
  <c r="C89" i="5"/>
  <c r="B89" i="5"/>
  <c r="P88" i="5"/>
  <c r="O88" i="5"/>
  <c r="C88" i="5"/>
  <c r="B88" i="5"/>
  <c r="P87" i="5"/>
  <c r="O87" i="5"/>
  <c r="C87" i="5"/>
  <c r="B87" i="5"/>
  <c r="P86" i="5"/>
  <c r="O86" i="5"/>
  <c r="C86" i="5"/>
  <c r="B86" i="5"/>
  <c r="P85" i="5"/>
  <c r="Q85" i="5" s="1"/>
  <c r="T434" i="3" s="1"/>
  <c r="O85" i="5"/>
  <c r="C85" i="5"/>
  <c r="B85" i="5"/>
  <c r="P84" i="5"/>
  <c r="O84" i="5"/>
  <c r="C84" i="5"/>
  <c r="B84" i="5"/>
  <c r="P83" i="5"/>
  <c r="Q83" i="5" s="1"/>
  <c r="T432" i="3" s="1"/>
  <c r="O83" i="5"/>
  <c r="C83" i="5"/>
  <c r="B83" i="5"/>
  <c r="P82" i="5"/>
  <c r="Q82" i="5" s="1"/>
  <c r="T431" i="3" s="1"/>
  <c r="O82" i="5"/>
  <c r="C82" i="5"/>
  <c r="B82" i="5"/>
  <c r="P81" i="5"/>
  <c r="O81" i="5"/>
  <c r="C81" i="5"/>
  <c r="B81" i="5"/>
  <c r="P80" i="5"/>
  <c r="O80" i="5"/>
  <c r="C80" i="5"/>
  <c r="B80" i="5"/>
  <c r="AC79" i="5"/>
  <c r="V79" i="5"/>
  <c r="U79" i="5"/>
  <c r="Q79" i="5"/>
  <c r="U78" i="5"/>
  <c r="U77" i="5"/>
  <c r="R77" i="5"/>
  <c r="Q77" i="5"/>
  <c r="N77" i="5"/>
  <c r="M77" i="5"/>
  <c r="L77" i="5"/>
  <c r="K77" i="5"/>
  <c r="J77" i="5"/>
  <c r="I77" i="5"/>
  <c r="H77" i="5"/>
  <c r="G77" i="5"/>
  <c r="F77" i="5"/>
  <c r="E77" i="5"/>
  <c r="P76" i="5"/>
  <c r="O76" i="5"/>
  <c r="C76" i="5"/>
  <c r="B76" i="5"/>
  <c r="P75" i="5"/>
  <c r="O75" i="5"/>
  <c r="C75" i="5"/>
  <c r="B75" i="5"/>
  <c r="P74" i="5"/>
  <c r="O74" i="5"/>
  <c r="C74" i="5"/>
  <c r="B74" i="5"/>
  <c r="U73" i="5"/>
  <c r="T73" i="5"/>
  <c r="S73" i="5"/>
  <c r="R73" i="5"/>
  <c r="Q73" i="5"/>
  <c r="N73" i="5"/>
  <c r="M73" i="5"/>
  <c r="L73" i="5"/>
  <c r="K73" i="5"/>
  <c r="J73" i="5"/>
  <c r="I73" i="5"/>
  <c r="H73" i="5"/>
  <c r="G73" i="5"/>
  <c r="F73" i="5"/>
  <c r="E73" i="5"/>
  <c r="O72" i="5"/>
  <c r="AC72" i="5" s="1"/>
  <c r="C72" i="5"/>
  <c r="B72" i="5"/>
  <c r="P71" i="5"/>
  <c r="P73" i="5" s="1"/>
  <c r="O71" i="5"/>
  <c r="C71" i="5"/>
  <c r="B71" i="5"/>
  <c r="U70" i="5"/>
  <c r="R70" i="5"/>
  <c r="N70" i="5"/>
  <c r="M70" i="5"/>
  <c r="L70" i="5"/>
  <c r="K70" i="5"/>
  <c r="J70" i="5"/>
  <c r="I70" i="5"/>
  <c r="H70" i="5"/>
  <c r="G70" i="5"/>
  <c r="F70" i="5"/>
  <c r="E70" i="5"/>
  <c r="P69" i="5"/>
  <c r="O69" i="5"/>
  <c r="C69" i="5"/>
  <c r="B69" i="5"/>
  <c r="P68" i="5"/>
  <c r="O68" i="5"/>
  <c r="C68" i="5"/>
  <c r="B68" i="5"/>
  <c r="P67" i="5"/>
  <c r="P70" i="5" s="1"/>
  <c r="O67" i="5"/>
  <c r="O70" i="5" s="1"/>
  <c r="C67" i="5"/>
  <c r="B67" i="5"/>
  <c r="U66" i="5"/>
  <c r="R66" i="5"/>
  <c r="N66" i="5"/>
  <c r="M66" i="5"/>
  <c r="L66" i="5"/>
  <c r="K66" i="5"/>
  <c r="J66" i="5"/>
  <c r="I66" i="5"/>
  <c r="H66" i="5"/>
  <c r="G66" i="5"/>
  <c r="F66" i="5"/>
  <c r="E66" i="5"/>
  <c r="P65" i="5"/>
  <c r="Q65" i="5" s="1"/>
  <c r="T414" i="3" s="1"/>
  <c r="O65" i="5"/>
  <c r="C65" i="5"/>
  <c r="B65" i="5"/>
  <c r="P64" i="5"/>
  <c r="O64" i="5"/>
  <c r="C64" i="5"/>
  <c r="B64" i="5"/>
  <c r="AC63" i="5"/>
  <c r="P63" i="5"/>
  <c r="O63" i="5"/>
  <c r="C63" i="5"/>
  <c r="B63" i="5"/>
  <c r="P62" i="5"/>
  <c r="Q62" i="5" s="1"/>
  <c r="T411" i="3" s="1"/>
  <c r="O62" i="5"/>
  <c r="C62" i="5"/>
  <c r="B62" i="5"/>
  <c r="P61" i="5"/>
  <c r="O61" i="5"/>
  <c r="C61" i="5"/>
  <c r="B61" i="5"/>
  <c r="P60" i="5"/>
  <c r="O60" i="5"/>
  <c r="C60" i="5"/>
  <c r="B60" i="5"/>
  <c r="P59" i="5"/>
  <c r="Q59" i="5" s="1"/>
  <c r="T408" i="3" s="1"/>
  <c r="O59" i="5"/>
  <c r="C59" i="5"/>
  <c r="B59" i="5"/>
  <c r="P58" i="5"/>
  <c r="Q58" i="5" s="1"/>
  <c r="T407" i="3" s="1"/>
  <c r="O58" i="5"/>
  <c r="AC58" i="5" s="1"/>
  <c r="C58" i="5"/>
  <c r="B58" i="5"/>
  <c r="P57" i="5"/>
  <c r="Q57" i="5" s="1"/>
  <c r="T406" i="3" s="1"/>
  <c r="O57" i="5"/>
  <c r="C57" i="5"/>
  <c r="B57" i="5"/>
  <c r="P56" i="5"/>
  <c r="O56" i="5"/>
  <c r="C56" i="5"/>
  <c r="B56" i="5"/>
  <c r="P55" i="5"/>
  <c r="Q55" i="5" s="1"/>
  <c r="T404" i="3" s="1"/>
  <c r="O55" i="5"/>
  <c r="C55" i="5"/>
  <c r="B55" i="5"/>
  <c r="P54" i="5"/>
  <c r="O54" i="5"/>
  <c r="C54" i="5"/>
  <c r="B54" i="5"/>
  <c r="P53" i="5"/>
  <c r="O53" i="5"/>
  <c r="C53" i="5"/>
  <c r="B53" i="5"/>
  <c r="AC52" i="5"/>
  <c r="P51" i="5"/>
  <c r="Q51" i="5" s="1"/>
  <c r="T400" i="3" s="1"/>
  <c r="T401" i="3" s="1"/>
  <c r="O51" i="5"/>
  <c r="AC51" i="5" s="1"/>
  <c r="C51" i="5"/>
  <c r="B51" i="5"/>
  <c r="U50" i="5"/>
  <c r="R50" i="5"/>
  <c r="N50" i="5"/>
  <c r="M50" i="5"/>
  <c r="L50" i="5"/>
  <c r="K50" i="5"/>
  <c r="J50" i="5"/>
  <c r="I50" i="5"/>
  <c r="H50" i="5"/>
  <c r="G50" i="5"/>
  <c r="F50" i="5"/>
  <c r="E50" i="5"/>
  <c r="P49" i="5"/>
  <c r="Q49" i="5" s="1"/>
  <c r="O49" i="5"/>
  <c r="C49" i="5"/>
  <c r="B49" i="5"/>
  <c r="P48" i="5"/>
  <c r="O48" i="5"/>
  <c r="C48" i="5"/>
  <c r="B48" i="5"/>
  <c r="P47" i="5"/>
  <c r="P50" i="5" s="1"/>
  <c r="V50" i="5" s="1"/>
  <c r="O47" i="5"/>
  <c r="O50" i="5" s="1"/>
  <c r="C47" i="5"/>
  <c r="B47" i="5"/>
  <c r="U46" i="5"/>
  <c r="R46" i="5"/>
  <c r="N46" i="5"/>
  <c r="M46" i="5"/>
  <c r="L46" i="5"/>
  <c r="K46" i="5"/>
  <c r="J46" i="5"/>
  <c r="I46" i="5"/>
  <c r="H46" i="5"/>
  <c r="G46" i="5"/>
  <c r="F46" i="5"/>
  <c r="E46" i="5"/>
  <c r="P45" i="5"/>
  <c r="O45" i="5"/>
  <c r="C45" i="5"/>
  <c r="B45" i="5"/>
  <c r="P44" i="5"/>
  <c r="O44" i="5"/>
  <c r="C44" i="5"/>
  <c r="B44" i="5"/>
  <c r="P42" i="5"/>
  <c r="Q42" i="5" s="1"/>
  <c r="O42" i="5"/>
  <c r="C42" i="5"/>
  <c r="B42" i="5"/>
  <c r="P41" i="5"/>
  <c r="O41" i="5"/>
  <c r="C41" i="5"/>
  <c r="B41" i="5"/>
  <c r="P40" i="5"/>
  <c r="O40" i="5"/>
  <c r="C40" i="5"/>
  <c r="B40" i="5"/>
  <c r="P39" i="5"/>
  <c r="AC39" i="5" s="1"/>
  <c r="O39" i="5"/>
  <c r="C39" i="5"/>
  <c r="B39" i="5"/>
  <c r="P38" i="5"/>
  <c r="O38" i="5"/>
  <c r="C38" i="5"/>
  <c r="B38" i="5"/>
  <c r="P37" i="5"/>
  <c r="O37" i="5"/>
  <c r="C37" i="5"/>
  <c r="B37" i="5"/>
  <c r="P36" i="5"/>
  <c r="AC36" i="5" s="1"/>
  <c r="O36" i="5"/>
  <c r="C36" i="5"/>
  <c r="B36" i="5"/>
  <c r="AC35" i="5"/>
  <c r="P35" i="5"/>
  <c r="O35" i="5"/>
  <c r="C35" i="5"/>
  <c r="B35" i="5"/>
  <c r="P34" i="5"/>
  <c r="O34" i="5"/>
  <c r="C34" i="5"/>
  <c r="B34" i="5"/>
  <c r="P33" i="5"/>
  <c r="O33" i="5"/>
  <c r="C33" i="5"/>
  <c r="B33" i="5"/>
  <c r="P32" i="5"/>
  <c r="O32" i="5"/>
  <c r="C32" i="5"/>
  <c r="B32" i="5"/>
  <c r="P31" i="5"/>
  <c r="O31" i="5"/>
  <c r="C31" i="5"/>
  <c r="B31" i="5"/>
  <c r="P30" i="5"/>
  <c r="O30" i="5"/>
  <c r="C30" i="5"/>
  <c r="B30" i="5"/>
  <c r="P29" i="5"/>
  <c r="O29" i="5"/>
  <c r="C29" i="5"/>
  <c r="B29" i="5"/>
  <c r="P28" i="5"/>
  <c r="O28" i="5"/>
  <c r="C28" i="5"/>
  <c r="B28" i="5"/>
  <c r="C27" i="5"/>
  <c r="B27" i="5"/>
  <c r="AB26" i="5"/>
  <c r="AA26" i="5"/>
  <c r="Z26" i="5"/>
  <c r="Y26" i="5"/>
  <c r="X26" i="5"/>
  <c r="W26" i="5"/>
  <c r="V26" i="5"/>
  <c r="U26" i="5"/>
  <c r="T26" i="5"/>
  <c r="S26" i="5"/>
  <c r="R26" i="5"/>
  <c r="N26" i="5"/>
  <c r="M26" i="5"/>
  <c r="L26" i="5"/>
  <c r="K26" i="5"/>
  <c r="J26" i="5"/>
  <c r="I26" i="5"/>
  <c r="H26" i="5"/>
  <c r="G26" i="5"/>
  <c r="F26" i="5"/>
  <c r="E26" i="5"/>
  <c r="P25" i="5"/>
  <c r="Q25" i="5" s="1"/>
  <c r="T374" i="3" s="1"/>
  <c r="O25" i="5"/>
  <c r="C25" i="5"/>
  <c r="B25" i="5"/>
  <c r="P24" i="5"/>
  <c r="O24" i="5"/>
  <c r="O26" i="5" s="1"/>
  <c r="C24" i="5"/>
  <c r="B24" i="5"/>
  <c r="Q23" i="5"/>
  <c r="T372" i="3" s="1"/>
  <c r="P23" i="5"/>
  <c r="AC23" i="5" s="1"/>
  <c r="O23" i="5"/>
  <c r="C23" i="5"/>
  <c r="B23" i="5"/>
  <c r="P22" i="5"/>
  <c r="O22" i="5"/>
  <c r="C22" i="5"/>
  <c r="B22" i="5"/>
  <c r="U21" i="5"/>
  <c r="R21" i="5"/>
  <c r="M21" i="5"/>
  <c r="L21" i="5"/>
  <c r="K21" i="5"/>
  <c r="H21" i="5"/>
  <c r="F21" i="5"/>
  <c r="E21" i="5"/>
  <c r="P20" i="5"/>
  <c r="Q20" i="5" s="1"/>
  <c r="T369" i="3" s="1"/>
  <c r="O20" i="5"/>
  <c r="C20" i="5"/>
  <c r="B20" i="5"/>
  <c r="P19" i="5"/>
  <c r="Q19" i="5" s="1"/>
  <c r="T368" i="3" s="1"/>
  <c r="O19" i="5"/>
  <c r="C19" i="5"/>
  <c r="B19" i="5"/>
  <c r="P18" i="5"/>
  <c r="Q18" i="5" s="1"/>
  <c r="T367" i="3" s="1"/>
  <c r="O18" i="5"/>
  <c r="C18" i="5"/>
  <c r="B18" i="5"/>
  <c r="P17" i="5"/>
  <c r="Q17" i="5" s="1"/>
  <c r="T366" i="3" s="1"/>
  <c r="O17" i="5"/>
  <c r="C17" i="5"/>
  <c r="B17" i="5"/>
  <c r="P16" i="5"/>
  <c r="Q16" i="5" s="1"/>
  <c r="T365" i="3" s="1"/>
  <c r="O16" i="5"/>
  <c r="C16" i="5"/>
  <c r="B16" i="5"/>
  <c r="P15" i="5"/>
  <c r="Q15" i="5" s="1"/>
  <c r="T364" i="3" s="1"/>
  <c r="O15" i="5"/>
  <c r="C15" i="5"/>
  <c r="B15" i="5"/>
  <c r="P14" i="5"/>
  <c r="AC14" i="5" s="1"/>
  <c r="O14" i="5"/>
  <c r="C14" i="5"/>
  <c r="B14" i="5"/>
  <c r="P13" i="5"/>
  <c r="O13" i="5"/>
  <c r="AC13" i="5" s="1"/>
  <c r="C13" i="5"/>
  <c r="B13" i="5"/>
  <c r="P12" i="5"/>
  <c r="O12" i="5"/>
  <c r="C12" i="5"/>
  <c r="B12" i="5"/>
  <c r="P11" i="5"/>
  <c r="O11" i="5"/>
  <c r="C11" i="5"/>
  <c r="B11" i="5"/>
  <c r="P10" i="5"/>
  <c r="O10" i="5"/>
  <c r="C10" i="5"/>
  <c r="B10" i="5"/>
  <c r="P9" i="5"/>
  <c r="O9" i="5"/>
  <c r="C9" i="5"/>
  <c r="B9" i="5"/>
  <c r="P8" i="5"/>
  <c r="Q8" i="5" s="1"/>
  <c r="T357" i="3" s="1"/>
  <c r="O8" i="5"/>
  <c r="C8" i="5"/>
  <c r="B8" i="5"/>
  <c r="Q7" i="5"/>
  <c r="T356" i="3" s="1"/>
  <c r="P7" i="5"/>
  <c r="O7" i="5"/>
  <c r="C7" i="5"/>
  <c r="B7" i="5"/>
  <c r="Q5" i="5"/>
  <c r="T355" i="3" s="1"/>
  <c r="T370" i="3" s="1"/>
  <c r="O5" i="5"/>
  <c r="C5" i="5"/>
  <c r="B5" i="5"/>
  <c r="U4" i="5"/>
  <c r="T4" i="5"/>
  <c r="T390" i="5" s="1"/>
  <c r="P4" i="5"/>
  <c r="V4" i="5" s="1"/>
  <c r="O4" i="5"/>
  <c r="N4" i="5"/>
  <c r="N21" i="5" s="1"/>
  <c r="I4" i="5"/>
  <c r="I21" i="5" s="1"/>
  <c r="G4" i="5"/>
  <c r="G21" i="5" s="1"/>
  <c r="C4" i="5"/>
  <c r="B4" i="5"/>
  <c r="AC3" i="5"/>
  <c r="U3" i="5"/>
  <c r="S250" i="4"/>
  <c r="S249" i="4"/>
  <c r="M249" i="4"/>
  <c r="L249" i="4"/>
  <c r="K249" i="4"/>
  <c r="F249" i="4"/>
  <c r="E249" i="4"/>
  <c r="S248" i="4"/>
  <c r="P248" i="4"/>
  <c r="Q248" i="4" s="1"/>
  <c r="T347" i="3" s="1"/>
  <c r="O248" i="4"/>
  <c r="N248" i="4"/>
  <c r="I248" i="4"/>
  <c r="J248" i="4" s="1"/>
  <c r="C248" i="4"/>
  <c r="B248" i="4"/>
  <c r="S247" i="4"/>
  <c r="P247" i="4"/>
  <c r="Q247" i="4" s="1"/>
  <c r="T346" i="3" s="1"/>
  <c r="O247" i="4"/>
  <c r="N247" i="4"/>
  <c r="I247" i="4"/>
  <c r="C247" i="4"/>
  <c r="B247" i="4"/>
  <c r="S246" i="4"/>
  <c r="P246" i="4"/>
  <c r="T246" i="4" s="1"/>
  <c r="O246" i="4"/>
  <c r="N246" i="4"/>
  <c r="N249" i="4" s="1"/>
  <c r="I246" i="4"/>
  <c r="I249" i="4" s="1"/>
  <c r="G246" i="4"/>
  <c r="H246" i="4" s="1"/>
  <c r="H249" i="4" s="1"/>
  <c r="C246" i="4"/>
  <c r="B246" i="4"/>
  <c r="AE245" i="4"/>
  <c r="T245" i="4"/>
  <c r="S245" i="4"/>
  <c r="Q245" i="4"/>
  <c r="S244" i="4"/>
  <c r="Q244" i="4"/>
  <c r="P244" i="4"/>
  <c r="O244" i="4"/>
  <c r="AE244" i="4" s="1"/>
  <c r="M244" i="4"/>
  <c r="L244" i="4"/>
  <c r="K244" i="4"/>
  <c r="H244" i="4"/>
  <c r="F244" i="4"/>
  <c r="E244" i="4"/>
  <c r="AE243" i="4"/>
  <c r="T243" i="4"/>
  <c r="S243" i="4"/>
  <c r="N243" i="4"/>
  <c r="I243" i="4"/>
  <c r="J243" i="4" s="1"/>
  <c r="G243" i="4"/>
  <c r="C243" i="4"/>
  <c r="B243" i="4"/>
  <c r="AE242" i="4"/>
  <c r="T242" i="4"/>
  <c r="S242" i="4"/>
  <c r="N242" i="4"/>
  <c r="N244" i="4" s="1"/>
  <c r="I242" i="4"/>
  <c r="I244" i="4" s="1"/>
  <c r="G242" i="4"/>
  <c r="G244" i="4" s="1"/>
  <c r="C242" i="4"/>
  <c r="B242" i="4"/>
  <c r="AE241" i="4"/>
  <c r="T241" i="4"/>
  <c r="S241" i="4"/>
  <c r="S240" i="4"/>
  <c r="N240" i="4"/>
  <c r="M240" i="4"/>
  <c r="L240" i="4"/>
  <c r="K240" i="4"/>
  <c r="J240" i="4"/>
  <c r="I240" i="4"/>
  <c r="H240" i="4"/>
  <c r="G240" i="4"/>
  <c r="F240" i="4"/>
  <c r="E240" i="4"/>
  <c r="P239" i="4"/>
  <c r="O239" i="4"/>
  <c r="AE239" i="4" s="1"/>
  <c r="C239" i="4"/>
  <c r="B239" i="4"/>
  <c r="P238" i="4"/>
  <c r="O238" i="4"/>
  <c r="AE238" i="4" s="1"/>
  <c r="C238" i="4"/>
  <c r="B238" i="4"/>
  <c r="P237" i="4"/>
  <c r="Q237" i="4" s="1"/>
  <c r="T340" i="3" s="1"/>
  <c r="O237" i="4"/>
  <c r="C237" i="4"/>
  <c r="B237" i="4"/>
  <c r="P236" i="4"/>
  <c r="P240" i="4" s="1"/>
  <c r="O236" i="4"/>
  <c r="C236" i="4"/>
  <c r="B236" i="4"/>
  <c r="Q235" i="4"/>
  <c r="T338" i="3" s="1"/>
  <c r="O235" i="4"/>
  <c r="AE235" i="4" s="1"/>
  <c r="C235" i="4"/>
  <c r="B235" i="4"/>
  <c r="Q234" i="4"/>
  <c r="T337" i="3" s="1"/>
  <c r="O234" i="4"/>
  <c r="AE234" i="4" s="1"/>
  <c r="C234" i="4"/>
  <c r="B234" i="4"/>
  <c r="Q233" i="4"/>
  <c r="O233" i="4"/>
  <c r="AE233" i="4" s="1"/>
  <c r="C233" i="4"/>
  <c r="B233" i="4"/>
  <c r="Q232" i="4"/>
  <c r="T335" i="3" s="1"/>
  <c r="O232" i="4"/>
  <c r="AE232" i="4" s="1"/>
  <c r="C232" i="4"/>
  <c r="B232" i="4"/>
  <c r="Q231" i="4"/>
  <c r="T334" i="3" s="1"/>
  <c r="O231" i="4"/>
  <c r="AE231" i="4" s="1"/>
  <c r="C231" i="4"/>
  <c r="B231" i="4"/>
  <c r="Q230" i="4"/>
  <c r="T333" i="3" s="1"/>
  <c r="O230" i="4"/>
  <c r="AE230" i="4" s="1"/>
  <c r="C230" i="4"/>
  <c r="B230" i="4"/>
  <c r="Q229" i="4"/>
  <c r="O229" i="4"/>
  <c r="AE229" i="4" s="1"/>
  <c r="C229" i="4"/>
  <c r="B229" i="4"/>
  <c r="Q228" i="4"/>
  <c r="T331" i="3" s="1"/>
  <c r="O228" i="4"/>
  <c r="AE228" i="4" s="1"/>
  <c r="C228" i="4"/>
  <c r="B228" i="4"/>
  <c r="Q227" i="4"/>
  <c r="T330" i="3" s="1"/>
  <c r="O227" i="4"/>
  <c r="AE227" i="4" s="1"/>
  <c r="C227" i="4"/>
  <c r="B227" i="4"/>
  <c r="O226" i="4"/>
  <c r="AE226" i="4" s="1"/>
  <c r="C226" i="4"/>
  <c r="B226" i="4"/>
  <c r="O225" i="4"/>
  <c r="C225" i="4"/>
  <c r="B225" i="4"/>
  <c r="AE224" i="4"/>
  <c r="T224" i="4"/>
  <c r="S224" i="4"/>
  <c r="Q224" i="4"/>
  <c r="S223" i="4"/>
  <c r="S222" i="4"/>
  <c r="N222" i="4"/>
  <c r="M222" i="4"/>
  <c r="L222" i="4"/>
  <c r="K222" i="4"/>
  <c r="J222" i="4"/>
  <c r="I222" i="4"/>
  <c r="H222" i="4"/>
  <c r="G222" i="4"/>
  <c r="F222" i="4"/>
  <c r="E222" i="4"/>
  <c r="P221" i="4"/>
  <c r="O221" i="4"/>
  <c r="C221" i="4"/>
  <c r="B221" i="4"/>
  <c r="P220" i="4"/>
  <c r="Q220" i="4" s="1"/>
  <c r="T320" i="3" s="1"/>
  <c r="O220" i="4"/>
  <c r="C220" i="4"/>
  <c r="B220" i="4"/>
  <c r="P219" i="4"/>
  <c r="P222" i="4" s="1"/>
  <c r="O219" i="4"/>
  <c r="O222" i="4" s="1"/>
  <c r="C219" i="4"/>
  <c r="B219" i="4"/>
  <c r="S218" i="4"/>
  <c r="M218" i="4"/>
  <c r="L218" i="4"/>
  <c r="K218" i="4"/>
  <c r="H218" i="4"/>
  <c r="F218" i="4"/>
  <c r="E218" i="4"/>
  <c r="P217" i="4"/>
  <c r="T217" i="4" s="1"/>
  <c r="O217" i="4"/>
  <c r="N217" i="4"/>
  <c r="C217" i="4"/>
  <c r="B217" i="4"/>
  <c r="P216" i="4"/>
  <c r="O216" i="4"/>
  <c r="C216" i="4"/>
  <c r="B216" i="4"/>
  <c r="S215" i="4"/>
  <c r="P215" i="4"/>
  <c r="T215" i="4" s="1"/>
  <c r="O215" i="4"/>
  <c r="N215" i="4"/>
  <c r="J215" i="4"/>
  <c r="C215" i="4"/>
  <c r="B215" i="4"/>
  <c r="S214" i="4"/>
  <c r="P214" i="4"/>
  <c r="AE214" i="4" s="1"/>
  <c r="O214" i="4"/>
  <c r="N214" i="4"/>
  <c r="C214" i="4"/>
  <c r="B214" i="4"/>
  <c r="S213" i="4"/>
  <c r="P213" i="4"/>
  <c r="O213" i="4"/>
  <c r="N213" i="4"/>
  <c r="J213" i="4"/>
  <c r="J218" i="4" s="1"/>
  <c r="I213" i="4"/>
  <c r="I218" i="4" s="1"/>
  <c r="G213" i="4"/>
  <c r="G218" i="4" s="1"/>
  <c r="C213" i="4"/>
  <c r="B213" i="4"/>
  <c r="S212" i="4"/>
  <c r="Q212" i="4"/>
  <c r="M212" i="4"/>
  <c r="L212" i="4"/>
  <c r="K212" i="4"/>
  <c r="F212" i="4"/>
  <c r="E212" i="4"/>
  <c r="S211" i="4"/>
  <c r="P211" i="4"/>
  <c r="T211" i="4" s="1"/>
  <c r="O211" i="4"/>
  <c r="N211" i="4"/>
  <c r="I211" i="4"/>
  <c r="J211" i="4" s="1"/>
  <c r="G211" i="4"/>
  <c r="H211" i="4" s="1"/>
  <c r="H212" i="4" s="1"/>
  <c r="C211" i="4"/>
  <c r="B211" i="4"/>
  <c r="S210" i="4"/>
  <c r="P210" i="4"/>
  <c r="T210" i="4" s="1"/>
  <c r="O210" i="4"/>
  <c r="N210" i="4"/>
  <c r="I210" i="4"/>
  <c r="J210" i="4" s="1"/>
  <c r="G210" i="4"/>
  <c r="C210" i="4"/>
  <c r="B210" i="4"/>
  <c r="S209" i="4"/>
  <c r="P209" i="4"/>
  <c r="T209" i="4" s="1"/>
  <c r="O209" i="4"/>
  <c r="N209" i="4"/>
  <c r="I209" i="4"/>
  <c r="J209" i="4" s="1"/>
  <c r="G209" i="4"/>
  <c r="C209" i="4"/>
  <c r="B209" i="4"/>
  <c r="S208" i="4"/>
  <c r="P208" i="4"/>
  <c r="T208" i="4" s="1"/>
  <c r="O208" i="4"/>
  <c r="N208" i="4"/>
  <c r="I208" i="4"/>
  <c r="J208" i="4" s="1"/>
  <c r="G208" i="4"/>
  <c r="C208" i="4"/>
  <c r="B208" i="4"/>
  <c r="S207" i="4"/>
  <c r="P207" i="4"/>
  <c r="O207" i="4"/>
  <c r="N207" i="4"/>
  <c r="I207" i="4"/>
  <c r="I212" i="4" s="1"/>
  <c r="G207" i="4"/>
  <c r="G212" i="4" s="1"/>
  <c r="C207" i="4"/>
  <c r="B207" i="4"/>
  <c r="S206" i="4"/>
  <c r="Q206" i="4"/>
  <c r="M206" i="4"/>
  <c r="L206" i="4"/>
  <c r="K206" i="4"/>
  <c r="H206" i="4"/>
  <c r="F206" i="4"/>
  <c r="E206" i="4"/>
  <c r="S205" i="4"/>
  <c r="P205" i="4"/>
  <c r="T205" i="4" s="1"/>
  <c r="O205" i="4"/>
  <c r="N205" i="4"/>
  <c r="C205" i="4"/>
  <c r="B205" i="4"/>
  <c r="S204" i="4"/>
  <c r="P204" i="4"/>
  <c r="T204" i="4" s="1"/>
  <c r="O204" i="4"/>
  <c r="I204" i="4"/>
  <c r="J204" i="4" s="1"/>
  <c r="G204" i="4"/>
  <c r="C204" i="4"/>
  <c r="B204" i="4"/>
  <c r="S203" i="4"/>
  <c r="P203" i="4"/>
  <c r="O203" i="4"/>
  <c r="N203" i="4"/>
  <c r="N206" i="4" s="1"/>
  <c r="I203" i="4"/>
  <c r="I206" i="4" s="1"/>
  <c r="G203" i="4"/>
  <c r="C203" i="4"/>
  <c r="B203" i="4"/>
  <c r="S202" i="4"/>
  <c r="M202" i="4"/>
  <c r="L202" i="4"/>
  <c r="K202" i="4"/>
  <c r="H202" i="4"/>
  <c r="F202" i="4"/>
  <c r="E202" i="4"/>
  <c r="S201" i="4"/>
  <c r="P201" i="4"/>
  <c r="T201" i="4" s="1"/>
  <c r="O201" i="4"/>
  <c r="N201" i="4"/>
  <c r="I201" i="4"/>
  <c r="J201" i="4" s="1"/>
  <c r="G201" i="4"/>
  <c r="C201" i="4"/>
  <c r="B201" i="4"/>
  <c r="S200" i="4"/>
  <c r="P200" i="4"/>
  <c r="T200" i="4" s="1"/>
  <c r="O200" i="4"/>
  <c r="N200" i="4"/>
  <c r="I200" i="4"/>
  <c r="J200" i="4" s="1"/>
  <c r="G200" i="4"/>
  <c r="C200" i="4"/>
  <c r="B200" i="4"/>
  <c r="T199" i="4"/>
  <c r="S199" i="4"/>
  <c r="P199" i="4"/>
  <c r="O199" i="4"/>
  <c r="N199" i="4"/>
  <c r="I199" i="4"/>
  <c r="J199" i="4" s="1"/>
  <c r="G199" i="4"/>
  <c r="C199" i="4"/>
  <c r="B199" i="4"/>
  <c r="S198" i="4"/>
  <c r="P198" i="4"/>
  <c r="T198" i="4" s="1"/>
  <c r="O198" i="4"/>
  <c r="N198" i="4"/>
  <c r="J198" i="4"/>
  <c r="C198" i="4"/>
  <c r="B198" i="4"/>
  <c r="S197" i="4"/>
  <c r="P197" i="4"/>
  <c r="AE197" i="4" s="1"/>
  <c r="O197" i="4"/>
  <c r="N197" i="4"/>
  <c r="N202" i="4" s="1"/>
  <c r="I197" i="4"/>
  <c r="I202" i="4" s="1"/>
  <c r="G197" i="4"/>
  <c r="G202" i="4" s="1"/>
  <c r="C197" i="4"/>
  <c r="B197" i="4"/>
  <c r="S196" i="4"/>
  <c r="M196" i="4"/>
  <c r="L196" i="4"/>
  <c r="K196" i="4"/>
  <c r="F196" i="4"/>
  <c r="E196" i="4"/>
  <c r="P195" i="4"/>
  <c r="O195" i="4"/>
  <c r="C195" i="4"/>
  <c r="B195" i="4"/>
  <c r="Q194" i="4"/>
  <c r="T269" i="3" s="1"/>
  <c r="O194" i="4"/>
  <c r="AE194" i="4" s="1"/>
  <c r="C194" i="4"/>
  <c r="B194" i="4"/>
  <c r="P193" i="4"/>
  <c r="O193" i="4"/>
  <c r="C193" i="4"/>
  <c r="B193" i="4"/>
  <c r="P192" i="4"/>
  <c r="O192" i="4"/>
  <c r="C192" i="4"/>
  <c r="B192" i="4"/>
  <c r="P191" i="4"/>
  <c r="Q191" i="4" s="1"/>
  <c r="T265" i="3" s="1"/>
  <c r="O191" i="4"/>
  <c r="C191" i="4"/>
  <c r="B191" i="4"/>
  <c r="P190" i="4"/>
  <c r="Q190" i="4" s="1"/>
  <c r="T264" i="3" s="1"/>
  <c r="O190" i="4"/>
  <c r="C190" i="4"/>
  <c r="B190" i="4"/>
  <c r="P189" i="4"/>
  <c r="O189" i="4"/>
  <c r="C189" i="4"/>
  <c r="B189" i="4"/>
  <c r="P188" i="4"/>
  <c r="O188" i="4"/>
  <c r="C188" i="4"/>
  <c r="B188" i="4"/>
  <c r="S187" i="4"/>
  <c r="P187" i="4"/>
  <c r="T187" i="4" s="1"/>
  <c r="O187" i="4"/>
  <c r="N187" i="4"/>
  <c r="I187" i="4"/>
  <c r="J187" i="4" s="1"/>
  <c r="H187" i="4"/>
  <c r="G187" i="4"/>
  <c r="C187" i="4"/>
  <c r="B187" i="4"/>
  <c r="Q186" i="4"/>
  <c r="T260" i="3" s="1"/>
  <c r="P186" i="4"/>
  <c r="T186" i="4" s="1"/>
  <c r="O186" i="4"/>
  <c r="N186" i="4"/>
  <c r="C186" i="4"/>
  <c r="B186" i="4"/>
  <c r="S185" i="4"/>
  <c r="P185" i="4"/>
  <c r="O185" i="4"/>
  <c r="N185" i="4"/>
  <c r="I185" i="4"/>
  <c r="J185" i="4" s="1"/>
  <c r="J196" i="4" s="1"/>
  <c r="G185" i="4"/>
  <c r="G196" i="4" s="1"/>
  <c r="C185" i="4"/>
  <c r="B185" i="4"/>
  <c r="S184" i="4"/>
  <c r="M184" i="4"/>
  <c r="L184" i="4"/>
  <c r="K184" i="4"/>
  <c r="H184" i="4"/>
  <c r="F184" i="4"/>
  <c r="E184" i="4"/>
  <c r="P183" i="4"/>
  <c r="Q183" i="4" s="1"/>
  <c r="T252" i="3" s="1"/>
  <c r="O183" i="4"/>
  <c r="AE183" i="4" s="1"/>
  <c r="C183" i="4"/>
  <c r="B183" i="4"/>
  <c r="P182" i="4"/>
  <c r="Q182" i="4" s="1"/>
  <c r="O182" i="4"/>
  <c r="C182" i="4"/>
  <c r="B182" i="4"/>
  <c r="S181" i="4"/>
  <c r="P181" i="4"/>
  <c r="O181" i="4"/>
  <c r="N181" i="4"/>
  <c r="N184" i="4" s="1"/>
  <c r="I181" i="4"/>
  <c r="J181" i="4" s="1"/>
  <c r="J184" i="4" s="1"/>
  <c r="G181" i="4"/>
  <c r="G184" i="4" s="1"/>
  <c r="C181" i="4"/>
  <c r="B181" i="4"/>
  <c r="AE180" i="4"/>
  <c r="T180" i="4"/>
  <c r="S180" i="4"/>
  <c r="Q180" i="4"/>
  <c r="S179" i="4"/>
  <c r="Q179" i="4"/>
  <c r="N179" i="4"/>
  <c r="M179" i="4"/>
  <c r="L179" i="4"/>
  <c r="K179" i="4"/>
  <c r="I179" i="4"/>
  <c r="F179" i="4"/>
  <c r="E179" i="4"/>
  <c r="S178" i="4"/>
  <c r="P178" i="4"/>
  <c r="P179" i="4" s="1"/>
  <c r="T179" i="4" s="1"/>
  <c r="O178" i="4"/>
  <c r="J178" i="4"/>
  <c r="J179" i="4" s="1"/>
  <c r="H178" i="4"/>
  <c r="H179" i="4" s="1"/>
  <c r="G178" i="4"/>
  <c r="G179" i="4" s="1"/>
  <c r="C178" i="4"/>
  <c r="B178" i="4"/>
  <c r="AE177" i="4"/>
  <c r="T177" i="4"/>
  <c r="S177" i="4"/>
  <c r="Q177" i="4"/>
  <c r="S176" i="4"/>
  <c r="L176" i="4"/>
  <c r="K176" i="4"/>
  <c r="F176" i="4"/>
  <c r="E176" i="4"/>
  <c r="S175" i="4"/>
  <c r="P175" i="4"/>
  <c r="T175" i="4" s="1"/>
  <c r="O175" i="4"/>
  <c r="N175" i="4"/>
  <c r="I175" i="4"/>
  <c r="J175" i="4" s="1"/>
  <c r="C175" i="4"/>
  <c r="B175" i="4"/>
  <c r="P174" i="4"/>
  <c r="Q174" i="4" s="1"/>
  <c r="T243" i="3" s="1"/>
  <c r="O174" i="4"/>
  <c r="N174" i="4"/>
  <c r="M174" i="4"/>
  <c r="I174" i="4"/>
  <c r="G174" i="4"/>
  <c r="H174" i="4" s="1"/>
  <c r="H176" i="4" s="1"/>
  <c r="C174" i="4"/>
  <c r="B174" i="4"/>
  <c r="P173" i="4"/>
  <c r="O173" i="4"/>
  <c r="C173" i="4"/>
  <c r="B173" i="4"/>
  <c r="P172" i="4"/>
  <c r="O172" i="4"/>
  <c r="C172" i="4"/>
  <c r="B172" i="4"/>
  <c r="P171" i="4"/>
  <c r="Q171" i="4" s="1"/>
  <c r="T240" i="3" s="1"/>
  <c r="O171" i="4"/>
  <c r="C171" i="4"/>
  <c r="B171" i="4"/>
  <c r="P170" i="4"/>
  <c r="Q170" i="4" s="1"/>
  <c r="T239" i="3" s="1"/>
  <c r="O170" i="4"/>
  <c r="C170" i="4"/>
  <c r="B170" i="4"/>
  <c r="P169" i="4"/>
  <c r="Q169" i="4" s="1"/>
  <c r="T238" i="3" s="1"/>
  <c r="O169" i="4"/>
  <c r="C169" i="4"/>
  <c r="B169" i="4"/>
  <c r="P168" i="4"/>
  <c r="O168" i="4"/>
  <c r="C168" i="4"/>
  <c r="B168" i="4"/>
  <c r="P167" i="4"/>
  <c r="O167" i="4"/>
  <c r="C167" i="4"/>
  <c r="B167" i="4"/>
  <c r="P166" i="4"/>
  <c r="Q166" i="4" s="1"/>
  <c r="T235" i="3" s="1"/>
  <c r="O166" i="4"/>
  <c r="C166" i="4"/>
  <c r="B166" i="4"/>
  <c r="S165" i="4"/>
  <c r="P165" i="4"/>
  <c r="T165" i="4" s="1"/>
  <c r="O165" i="4"/>
  <c r="N165" i="4"/>
  <c r="I165" i="4"/>
  <c r="I176" i="4" s="1"/>
  <c r="C165" i="4"/>
  <c r="B165" i="4"/>
  <c r="P164" i="4"/>
  <c r="T164" i="4" s="1"/>
  <c r="O164" i="4"/>
  <c r="N164" i="4"/>
  <c r="C164" i="4"/>
  <c r="B164" i="4"/>
  <c r="S163" i="4"/>
  <c r="P163" i="4"/>
  <c r="O163" i="4"/>
  <c r="N163" i="4"/>
  <c r="N176" i="4" s="1"/>
  <c r="C163" i="4"/>
  <c r="B163" i="4"/>
  <c r="AE162" i="4"/>
  <c r="T162" i="4"/>
  <c r="S162" i="4"/>
  <c r="Q162" i="4"/>
  <c r="S161" i="4"/>
  <c r="S160" i="4"/>
  <c r="M160" i="4"/>
  <c r="L160" i="4"/>
  <c r="K160" i="4"/>
  <c r="F160" i="4"/>
  <c r="E160" i="4"/>
  <c r="P159" i="4"/>
  <c r="Q159" i="4" s="1"/>
  <c r="T226" i="3" s="1"/>
  <c r="O159" i="4"/>
  <c r="C159" i="4"/>
  <c r="B159" i="4"/>
  <c r="P158" i="4"/>
  <c r="O158" i="4"/>
  <c r="C158" i="4"/>
  <c r="B158" i="4"/>
  <c r="AE157" i="4"/>
  <c r="O157" i="4"/>
  <c r="C157" i="4"/>
  <c r="B157" i="4"/>
  <c r="P156" i="4"/>
  <c r="Q156" i="4" s="1"/>
  <c r="T223" i="3" s="1"/>
  <c r="O156" i="4"/>
  <c r="C156" i="4"/>
  <c r="B156" i="4"/>
  <c r="P155" i="4"/>
  <c r="Q155" i="4" s="1"/>
  <c r="T222" i="3" s="1"/>
  <c r="O155" i="4"/>
  <c r="C155" i="4"/>
  <c r="B155" i="4"/>
  <c r="P154" i="4"/>
  <c r="Q154" i="4" s="1"/>
  <c r="T221" i="3" s="1"/>
  <c r="O154" i="4"/>
  <c r="C154" i="4"/>
  <c r="B154" i="4"/>
  <c r="P153" i="4"/>
  <c r="Q153" i="4" s="1"/>
  <c r="T220" i="3" s="1"/>
  <c r="O153" i="4"/>
  <c r="C153" i="4"/>
  <c r="B153" i="4"/>
  <c r="P152" i="4"/>
  <c r="O152" i="4"/>
  <c r="AE152" i="4" s="1"/>
  <c r="C152" i="4"/>
  <c r="B152" i="4"/>
  <c r="P151" i="4"/>
  <c r="O151" i="4"/>
  <c r="C151" i="4"/>
  <c r="B151" i="4"/>
  <c r="P150" i="4"/>
  <c r="O150" i="4"/>
  <c r="C150" i="4"/>
  <c r="B150" i="4"/>
  <c r="P149" i="4"/>
  <c r="O149" i="4"/>
  <c r="C149" i="4"/>
  <c r="B149" i="4"/>
  <c r="P148" i="4"/>
  <c r="Q148" i="4" s="1"/>
  <c r="T215" i="3" s="1"/>
  <c r="O148" i="4"/>
  <c r="C148" i="4"/>
  <c r="B148" i="4"/>
  <c r="P147" i="4"/>
  <c r="Q147" i="4" s="1"/>
  <c r="T214" i="3" s="1"/>
  <c r="O147" i="4"/>
  <c r="C147" i="4"/>
  <c r="B147" i="4"/>
  <c r="P146" i="4"/>
  <c r="Q146" i="4" s="1"/>
  <c r="T213" i="3" s="1"/>
  <c r="O146" i="4"/>
  <c r="C146" i="4"/>
  <c r="B146" i="4"/>
  <c r="P145" i="4"/>
  <c r="Q145" i="4" s="1"/>
  <c r="T212" i="3" s="1"/>
  <c r="O145" i="4"/>
  <c r="C145" i="4"/>
  <c r="B145" i="4"/>
  <c r="P144" i="4"/>
  <c r="Q144" i="4" s="1"/>
  <c r="T211" i="3" s="1"/>
  <c r="O144" i="4"/>
  <c r="C144" i="4"/>
  <c r="B144" i="4"/>
  <c r="Q143" i="4"/>
  <c r="T210" i="3" s="1"/>
  <c r="O143" i="4"/>
  <c r="AE143" i="4" s="1"/>
  <c r="C143" i="4"/>
  <c r="B143" i="4"/>
  <c r="P142" i="4"/>
  <c r="Q142" i="4" s="1"/>
  <c r="T209" i="3" s="1"/>
  <c r="O142" i="4"/>
  <c r="AE142" i="4" s="1"/>
  <c r="C142" i="4"/>
  <c r="B142" i="4"/>
  <c r="P141" i="4"/>
  <c r="Q141" i="4" s="1"/>
  <c r="T208" i="3" s="1"/>
  <c r="O141" i="4"/>
  <c r="AE141" i="4" s="1"/>
  <c r="C141" i="4"/>
  <c r="B141" i="4"/>
  <c r="Q140" i="4"/>
  <c r="T207" i="3" s="1"/>
  <c r="O140" i="4"/>
  <c r="AE140" i="4" s="1"/>
  <c r="C140" i="4"/>
  <c r="B140" i="4"/>
  <c r="P139" i="4"/>
  <c r="O139" i="4"/>
  <c r="C139" i="4"/>
  <c r="B139" i="4"/>
  <c r="P138" i="4"/>
  <c r="Q138" i="4" s="1"/>
  <c r="T205" i="3" s="1"/>
  <c r="O138" i="4"/>
  <c r="C138" i="4"/>
  <c r="B138" i="4"/>
  <c r="P137" i="4"/>
  <c r="O137" i="4"/>
  <c r="C137" i="4"/>
  <c r="B137" i="4"/>
  <c r="P136" i="4"/>
  <c r="O136" i="4"/>
  <c r="C136" i="4"/>
  <c r="B136" i="4"/>
  <c r="P135" i="4"/>
  <c r="Q135" i="4" s="1"/>
  <c r="T202" i="3" s="1"/>
  <c r="O135" i="4"/>
  <c r="C135" i="4"/>
  <c r="B135" i="4"/>
  <c r="P134" i="4"/>
  <c r="O134" i="4"/>
  <c r="AE134" i="4" s="1"/>
  <c r="C134" i="4"/>
  <c r="B134" i="4"/>
  <c r="P133" i="4"/>
  <c r="Q133" i="4" s="1"/>
  <c r="T200" i="3" s="1"/>
  <c r="O133" i="4"/>
  <c r="AE133" i="4" s="1"/>
  <c r="C133" i="4"/>
  <c r="B133" i="4"/>
  <c r="P132" i="4"/>
  <c r="O132" i="4"/>
  <c r="AE132" i="4" s="1"/>
  <c r="C132" i="4"/>
  <c r="B132" i="4"/>
  <c r="P131" i="4"/>
  <c r="O131" i="4"/>
  <c r="C131" i="4"/>
  <c r="B131" i="4"/>
  <c r="P130" i="4"/>
  <c r="Q130" i="4" s="1"/>
  <c r="T197" i="3" s="1"/>
  <c r="O130" i="4"/>
  <c r="C130" i="4"/>
  <c r="B130" i="4"/>
  <c r="P129" i="4"/>
  <c r="O129" i="4"/>
  <c r="C129" i="4"/>
  <c r="B129" i="4"/>
  <c r="P128" i="4"/>
  <c r="O128" i="4"/>
  <c r="C128" i="4"/>
  <c r="B128" i="4"/>
  <c r="P127" i="4"/>
  <c r="O127" i="4"/>
  <c r="C127" i="4"/>
  <c r="B127" i="4"/>
  <c r="P126" i="4"/>
  <c r="O126" i="4"/>
  <c r="C126" i="4"/>
  <c r="B126" i="4"/>
  <c r="P125" i="4"/>
  <c r="O125" i="4"/>
  <c r="C125" i="4"/>
  <c r="B125" i="4"/>
  <c r="O124" i="4"/>
  <c r="AE124" i="4" s="1"/>
  <c r="C124" i="4"/>
  <c r="B124" i="4"/>
  <c r="P123" i="4"/>
  <c r="O123" i="4"/>
  <c r="C123" i="4"/>
  <c r="B123" i="4"/>
  <c r="Q122" i="4"/>
  <c r="O122" i="4"/>
  <c r="AE122" i="4" s="1"/>
  <c r="C122" i="4"/>
  <c r="B122" i="4"/>
  <c r="P121" i="4"/>
  <c r="Q121" i="4" s="1"/>
  <c r="T185" i="3" s="1"/>
  <c r="O121" i="4"/>
  <c r="C121" i="4"/>
  <c r="B121" i="4"/>
  <c r="P120" i="4"/>
  <c r="O120" i="4"/>
  <c r="C120" i="4"/>
  <c r="B120" i="4"/>
  <c r="P119" i="4"/>
  <c r="O119" i="4"/>
  <c r="C119" i="4"/>
  <c r="B119" i="4"/>
  <c r="P118" i="4"/>
  <c r="O118" i="4"/>
  <c r="C118" i="4"/>
  <c r="B118" i="4"/>
  <c r="P117" i="4"/>
  <c r="O117" i="4"/>
  <c r="C117" i="4"/>
  <c r="B117" i="4"/>
  <c r="P116" i="4"/>
  <c r="O116" i="4"/>
  <c r="C116" i="4"/>
  <c r="B116" i="4"/>
  <c r="P115" i="4"/>
  <c r="O115" i="4"/>
  <c r="C115" i="4"/>
  <c r="B115" i="4"/>
  <c r="P114" i="4"/>
  <c r="O114" i="4"/>
  <c r="C114" i="4"/>
  <c r="B114" i="4"/>
  <c r="P113" i="4"/>
  <c r="O113" i="4"/>
  <c r="C113" i="4"/>
  <c r="B113" i="4"/>
  <c r="P112" i="4"/>
  <c r="Q112" i="4" s="1"/>
  <c r="T176" i="3" s="1"/>
  <c r="O112" i="4"/>
  <c r="C112" i="4"/>
  <c r="B112" i="4"/>
  <c r="P111" i="4"/>
  <c r="O111" i="4"/>
  <c r="C111" i="4"/>
  <c r="B111" i="4"/>
  <c r="P110" i="4"/>
  <c r="O110" i="4"/>
  <c r="C110" i="4"/>
  <c r="B110" i="4"/>
  <c r="P109" i="4"/>
  <c r="Q109" i="4" s="1"/>
  <c r="T173" i="3" s="1"/>
  <c r="O109" i="4"/>
  <c r="C109" i="4"/>
  <c r="B109" i="4"/>
  <c r="T108" i="4"/>
  <c r="S108" i="4"/>
  <c r="P108" i="4"/>
  <c r="O108" i="4"/>
  <c r="N108" i="4"/>
  <c r="I108" i="4"/>
  <c r="J108" i="4" s="1"/>
  <c r="G108" i="4"/>
  <c r="C108" i="4"/>
  <c r="B108" i="4"/>
  <c r="Q107" i="4"/>
  <c r="T169" i="3" s="1"/>
  <c r="P107" i="4"/>
  <c r="T107" i="4" s="1"/>
  <c r="O107" i="4"/>
  <c r="N107" i="4"/>
  <c r="C107" i="4"/>
  <c r="B107" i="4"/>
  <c r="S106" i="4"/>
  <c r="P106" i="4"/>
  <c r="T106" i="4" s="1"/>
  <c r="O106" i="4"/>
  <c r="N106" i="4"/>
  <c r="I106" i="4"/>
  <c r="J106" i="4" s="1"/>
  <c r="G106" i="4"/>
  <c r="H106" i="4" s="1"/>
  <c r="C106" i="4"/>
  <c r="B106" i="4"/>
  <c r="T105" i="4"/>
  <c r="S105" i="4"/>
  <c r="O105" i="4"/>
  <c r="AE105" i="4" s="1"/>
  <c r="N105" i="4"/>
  <c r="N160" i="4" s="1"/>
  <c r="I105" i="4"/>
  <c r="I160" i="4" s="1"/>
  <c r="G105" i="4"/>
  <c r="H105" i="4" s="1"/>
  <c r="C105" i="4"/>
  <c r="B105" i="4"/>
  <c r="S104" i="4"/>
  <c r="L104" i="4"/>
  <c r="K104" i="4"/>
  <c r="E104" i="4"/>
  <c r="Q103" i="4"/>
  <c r="T134" i="3" s="1"/>
  <c r="P103" i="4"/>
  <c r="T103" i="4" s="1"/>
  <c r="O103" i="4"/>
  <c r="AE103" i="4" s="1"/>
  <c r="N103" i="4"/>
  <c r="C103" i="4"/>
  <c r="B103" i="4"/>
  <c r="S102" i="4"/>
  <c r="P102" i="4"/>
  <c r="Q102" i="4" s="1"/>
  <c r="T132" i="3" s="1"/>
  <c r="O102" i="4"/>
  <c r="N102" i="4"/>
  <c r="I102" i="4"/>
  <c r="J102" i="4" s="1"/>
  <c r="G102" i="4"/>
  <c r="H102" i="4" s="1"/>
  <c r="C102" i="4"/>
  <c r="B102" i="4"/>
  <c r="P101" i="4"/>
  <c r="T101" i="4" s="1"/>
  <c r="O101" i="4"/>
  <c r="N101" i="4"/>
  <c r="C101" i="4"/>
  <c r="B101" i="4"/>
  <c r="S100" i="4"/>
  <c r="Q100" i="4"/>
  <c r="T130" i="3" s="1"/>
  <c r="P100" i="4"/>
  <c r="T100" i="4" s="1"/>
  <c r="O100" i="4"/>
  <c r="N100" i="4"/>
  <c r="I100" i="4"/>
  <c r="J100" i="4" s="1"/>
  <c r="G100" i="4"/>
  <c r="H100" i="4" s="1"/>
  <c r="C100" i="4"/>
  <c r="B100" i="4"/>
  <c r="T99" i="4"/>
  <c r="S99" i="4"/>
  <c r="P99" i="4"/>
  <c r="Q99" i="4" s="1"/>
  <c r="T129" i="3" s="1"/>
  <c r="O99" i="4"/>
  <c r="N99" i="4"/>
  <c r="I99" i="4"/>
  <c r="J99" i="4" s="1"/>
  <c r="G99" i="4"/>
  <c r="H99" i="4" s="1"/>
  <c r="C99" i="4"/>
  <c r="B99" i="4"/>
  <c r="S98" i="4"/>
  <c r="P98" i="4"/>
  <c r="T98" i="4" s="1"/>
  <c r="O98" i="4"/>
  <c r="AE98" i="4" s="1"/>
  <c r="N98" i="4"/>
  <c r="I98" i="4"/>
  <c r="J98" i="4" s="1"/>
  <c r="G98" i="4"/>
  <c r="H98" i="4" s="1"/>
  <c r="C98" i="4"/>
  <c r="B98" i="4"/>
  <c r="S97" i="4"/>
  <c r="P97" i="4"/>
  <c r="T97" i="4" s="1"/>
  <c r="O97" i="4"/>
  <c r="N97" i="4"/>
  <c r="I97" i="4"/>
  <c r="G97" i="4"/>
  <c r="H97" i="4" s="1"/>
  <c r="C97" i="4"/>
  <c r="B97" i="4"/>
  <c r="S96" i="4"/>
  <c r="P96" i="4"/>
  <c r="T96" i="4" s="1"/>
  <c r="O96" i="4"/>
  <c r="AE96" i="4" s="1"/>
  <c r="N96" i="4"/>
  <c r="I96" i="4"/>
  <c r="J96" i="4" s="1"/>
  <c r="G96" i="4"/>
  <c r="H96" i="4" s="1"/>
  <c r="C96" i="4"/>
  <c r="B96" i="4"/>
  <c r="P95" i="4"/>
  <c r="T95" i="4" s="1"/>
  <c r="O95" i="4"/>
  <c r="N95" i="4"/>
  <c r="M95" i="4"/>
  <c r="M104" i="4" s="1"/>
  <c r="I95" i="4"/>
  <c r="J95" i="4" s="1"/>
  <c r="G95" i="4"/>
  <c r="H95" i="4" s="1"/>
  <c r="C95" i="4"/>
  <c r="B95" i="4"/>
  <c r="S94" i="4"/>
  <c r="P94" i="4"/>
  <c r="Q94" i="4" s="1"/>
  <c r="T124" i="3" s="1"/>
  <c r="O94" i="4"/>
  <c r="N94" i="4"/>
  <c r="I94" i="4"/>
  <c r="J94" i="4" s="1"/>
  <c r="G94" i="4"/>
  <c r="H94" i="4" s="1"/>
  <c r="C94" i="4"/>
  <c r="B94" i="4"/>
  <c r="S93" i="4"/>
  <c r="P93" i="4"/>
  <c r="T93" i="4" s="1"/>
  <c r="O93" i="4"/>
  <c r="N93" i="4"/>
  <c r="N104" i="4" s="1"/>
  <c r="I93" i="4"/>
  <c r="J93" i="4" s="1"/>
  <c r="G93" i="4"/>
  <c r="H93" i="4" s="1"/>
  <c r="C93" i="4"/>
  <c r="B93" i="4"/>
  <c r="S92" i="4"/>
  <c r="P92" i="4"/>
  <c r="O92" i="4"/>
  <c r="I92" i="4"/>
  <c r="J92" i="4" s="1"/>
  <c r="F92" i="4"/>
  <c r="F104" i="4" s="1"/>
  <c r="C92" i="4"/>
  <c r="B92" i="4"/>
  <c r="AE91" i="4"/>
  <c r="S91" i="4"/>
  <c r="Q91" i="4"/>
  <c r="T121" i="3" s="1"/>
  <c r="J91" i="4"/>
  <c r="G91" i="4"/>
  <c r="C91" i="4"/>
  <c r="B91" i="4"/>
  <c r="Q90" i="4"/>
  <c r="P89" i="4"/>
  <c r="P90" i="4" s="1"/>
  <c r="O89" i="4"/>
  <c r="O90" i="4" s="1"/>
  <c r="C89" i="4"/>
  <c r="B89" i="4"/>
  <c r="S88" i="4"/>
  <c r="M88" i="4"/>
  <c r="L88" i="4"/>
  <c r="K88" i="4"/>
  <c r="E88" i="4"/>
  <c r="P87" i="4"/>
  <c r="O87" i="4"/>
  <c r="C87" i="4"/>
  <c r="B87" i="4"/>
  <c r="P86" i="4"/>
  <c r="Q86" i="4" s="1"/>
  <c r="T112" i="3" s="1"/>
  <c r="O86" i="4"/>
  <c r="C86" i="4"/>
  <c r="B86" i="4"/>
  <c r="P85" i="4"/>
  <c r="O85" i="4"/>
  <c r="C85" i="4"/>
  <c r="B85" i="4"/>
  <c r="AE84" i="4"/>
  <c r="P84" i="4"/>
  <c r="Q84" i="4" s="1"/>
  <c r="T109" i="3" s="1"/>
  <c r="O84" i="4"/>
  <c r="C84" i="4"/>
  <c r="B84" i="4"/>
  <c r="S83" i="4"/>
  <c r="P83" i="4"/>
  <c r="T83" i="4" s="1"/>
  <c r="O83" i="4"/>
  <c r="N83" i="4"/>
  <c r="I83" i="4"/>
  <c r="J83" i="4" s="1"/>
  <c r="G83" i="4"/>
  <c r="H83" i="4" s="1"/>
  <c r="C83" i="4"/>
  <c r="B83" i="4"/>
  <c r="P82" i="4"/>
  <c r="Q82" i="4" s="1"/>
  <c r="T106" i="3" s="1"/>
  <c r="O82" i="4"/>
  <c r="C82" i="4"/>
  <c r="B82" i="4"/>
  <c r="P81" i="4"/>
  <c r="Q81" i="4" s="1"/>
  <c r="T105" i="3" s="1"/>
  <c r="O81" i="4"/>
  <c r="C81" i="4"/>
  <c r="B81" i="4"/>
  <c r="S80" i="4"/>
  <c r="P80" i="4"/>
  <c r="T80" i="4" s="1"/>
  <c r="O80" i="4"/>
  <c r="AE80" i="4" s="1"/>
  <c r="N80" i="4"/>
  <c r="J80" i="4"/>
  <c r="I80" i="4"/>
  <c r="G80" i="4"/>
  <c r="H80" i="4" s="1"/>
  <c r="C80" i="4"/>
  <c r="B80" i="4"/>
  <c r="P79" i="4"/>
  <c r="O79" i="4"/>
  <c r="AE79" i="4" s="1"/>
  <c r="N79" i="4"/>
  <c r="N88" i="4" s="1"/>
  <c r="C79" i="4"/>
  <c r="B79" i="4"/>
  <c r="S78" i="4"/>
  <c r="P78" i="4"/>
  <c r="T78" i="4" s="1"/>
  <c r="O78" i="4"/>
  <c r="I78" i="4"/>
  <c r="J78" i="4" s="1"/>
  <c r="J88" i="4" s="1"/>
  <c r="F78" i="4"/>
  <c r="F88" i="4" s="1"/>
  <c r="C78" i="4"/>
  <c r="B78" i="4"/>
  <c r="S77" i="4"/>
  <c r="Q77" i="4"/>
  <c r="M77" i="4"/>
  <c r="L77" i="4"/>
  <c r="K77" i="4"/>
  <c r="E77" i="4"/>
  <c r="P76" i="4"/>
  <c r="O76" i="4"/>
  <c r="C76" i="4"/>
  <c r="B76" i="4"/>
  <c r="P75" i="4"/>
  <c r="AE75" i="4" s="1"/>
  <c r="O75" i="4"/>
  <c r="C75" i="4"/>
  <c r="B75" i="4"/>
  <c r="P74" i="4"/>
  <c r="O74" i="4"/>
  <c r="C74" i="4"/>
  <c r="B74" i="4"/>
  <c r="S73" i="4"/>
  <c r="P73" i="4"/>
  <c r="T73" i="4" s="1"/>
  <c r="O73" i="4"/>
  <c r="N73" i="4"/>
  <c r="I73" i="4"/>
  <c r="J73" i="4" s="1"/>
  <c r="G73" i="4"/>
  <c r="H73" i="4" s="1"/>
  <c r="H77" i="4" s="1"/>
  <c r="C73" i="4"/>
  <c r="B73" i="4"/>
  <c r="S72" i="4"/>
  <c r="P72" i="4"/>
  <c r="O72" i="4"/>
  <c r="N72" i="4"/>
  <c r="I72" i="4"/>
  <c r="J72" i="4" s="1"/>
  <c r="J77" i="4" s="1"/>
  <c r="F72" i="4"/>
  <c r="G72" i="4" s="1"/>
  <c r="G77" i="4" s="1"/>
  <c r="C72" i="4"/>
  <c r="B72" i="4"/>
  <c r="S71" i="4"/>
  <c r="M71" i="4"/>
  <c r="L71" i="4"/>
  <c r="K71" i="4"/>
  <c r="F71" i="4"/>
  <c r="E71" i="4"/>
  <c r="S70" i="4"/>
  <c r="Q70" i="4"/>
  <c r="T83" i="3" s="1"/>
  <c r="P70" i="4"/>
  <c r="T70" i="4" s="1"/>
  <c r="O70" i="4"/>
  <c r="N70" i="4"/>
  <c r="J70" i="4"/>
  <c r="H70" i="4"/>
  <c r="C70" i="4"/>
  <c r="B70" i="4"/>
  <c r="S69" i="4"/>
  <c r="P69" i="4"/>
  <c r="Q69" i="4" s="1"/>
  <c r="T82" i="3" s="1"/>
  <c r="N69" i="4"/>
  <c r="I69" i="4"/>
  <c r="C69" i="4"/>
  <c r="B69" i="4"/>
  <c r="S68" i="4"/>
  <c r="P68" i="4"/>
  <c r="T68" i="4" s="1"/>
  <c r="O68" i="4"/>
  <c r="N68" i="4"/>
  <c r="I68" i="4"/>
  <c r="J68" i="4" s="1"/>
  <c r="C68" i="4"/>
  <c r="B68" i="4"/>
  <c r="T67" i="4"/>
  <c r="S67" i="4"/>
  <c r="Q67" i="4"/>
  <c r="T80" i="3" s="1"/>
  <c r="O67" i="4"/>
  <c r="AE67" i="4" s="1"/>
  <c r="N67" i="4"/>
  <c r="I67" i="4"/>
  <c r="J67" i="4" s="1"/>
  <c r="G67" i="4"/>
  <c r="C67" i="4"/>
  <c r="B67" i="4"/>
  <c r="S66" i="4"/>
  <c r="P66" i="4"/>
  <c r="T66" i="4" s="1"/>
  <c r="O66" i="4"/>
  <c r="J66" i="4"/>
  <c r="I66" i="4"/>
  <c r="G66" i="4"/>
  <c r="H66" i="4" s="1"/>
  <c r="C66" i="4"/>
  <c r="B66" i="4"/>
  <c r="S65" i="4"/>
  <c r="P65" i="4"/>
  <c r="T65" i="4" s="1"/>
  <c r="O65" i="4"/>
  <c r="N65" i="4"/>
  <c r="N71" i="4" s="1"/>
  <c r="I65" i="4"/>
  <c r="J65" i="4" s="1"/>
  <c r="J71" i="4" s="1"/>
  <c r="G65" i="4"/>
  <c r="H65" i="4" s="1"/>
  <c r="C65" i="4"/>
  <c r="B65" i="4"/>
  <c r="S64" i="4"/>
  <c r="M64" i="4"/>
  <c r="L64" i="4"/>
  <c r="K64" i="4"/>
  <c r="E64" i="4"/>
  <c r="S63" i="4"/>
  <c r="P63" i="4"/>
  <c r="Q63" i="4" s="1"/>
  <c r="O63" i="4"/>
  <c r="N63" i="4"/>
  <c r="I63" i="4"/>
  <c r="J63" i="4" s="1"/>
  <c r="G63" i="4"/>
  <c r="H63" i="4" s="1"/>
  <c r="C63" i="4"/>
  <c r="B63" i="4"/>
  <c r="S62" i="4"/>
  <c r="P62" i="4"/>
  <c r="T62" i="4" s="1"/>
  <c r="O62" i="4"/>
  <c r="N62" i="4"/>
  <c r="I62" i="4"/>
  <c r="J62" i="4" s="1"/>
  <c r="H62" i="4"/>
  <c r="G62" i="4"/>
  <c r="C62" i="4"/>
  <c r="B62" i="4"/>
  <c r="S61" i="4"/>
  <c r="P61" i="4"/>
  <c r="T61" i="4" s="1"/>
  <c r="O61" i="4"/>
  <c r="N61" i="4"/>
  <c r="I61" i="4"/>
  <c r="J61" i="4" s="1"/>
  <c r="G61" i="4"/>
  <c r="H61" i="4" s="1"/>
  <c r="C61" i="4"/>
  <c r="B61" i="4"/>
  <c r="S60" i="4"/>
  <c r="P60" i="4"/>
  <c r="Q60" i="4" s="1"/>
  <c r="O60" i="4"/>
  <c r="I60" i="4"/>
  <c r="J60" i="4" s="1"/>
  <c r="F60" i="4"/>
  <c r="F64" i="4" s="1"/>
  <c r="C60" i="4"/>
  <c r="B60" i="4"/>
  <c r="S59" i="4"/>
  <c r="P59" i="4"/>
  <c r="O59" i="4"/>
  <c r="N59" i="4"/>
  <c r="I59" i="4"/>
  <c r="I64" i="4" s="1"/>
  <c r="H59" i="4"/>
  <c r="G59" i="4"/>
  <c r="C59" i="4"/>
  <c r="B59" i="4"/>
  <c r="AE58" i="4"/>
  <c r="T58" i="4"/>
  <c r="S58" i="4"/>
  <c r="Q58" i="4"/>
  <c r="S57" i="4"/>
  <c r="N57" i="4"/>
  <c r="M57" i="4"/>
  <c r="L57" i="4"/>
  <c r="K57" i="4"/>
  <c r="J57" i="4"/>
  <c r="I57" i="4"/>
  <c r="H57" i="4"/>
  <c r="G57" i="4"/>
  <c r="F57" i="4"/>
  <c r="E57" i="4"/>
  <c r="P56" i="4"/>
  <c r="Q56" i="4" s="1"/>
  <c r="T59" i="3" s="1"/>
  <c r="O56" i="4"/>
  <c r="C56" i="4"/>
  <c r="B56" i="4"/>
  <c r="P55" i="4"/>
  <c r="Q55" i="4" s="1"/>
  <c r="T58" i="3" s="1"/>
  <c r="O55" i="4"/>
  <c r="C55" i="4"/>
  <c r="B55" i="4"/>
  <c r="P54" i="4"/>
  <c r="O54" i="4"/>
  <c r="C54" i="4"/>
  <c r="B54" i="4"/>
  <c r="P53" i="4"/>
  <c r="O53" i="4"/>
  <c r="C53" i="4"/>
  <c r="B53" i="4"/>
  <c r="P52" i="4"/>
  <c r="O52" i="4"/>
  <c r="C52" i="4"/>
  <c r="B52" i="4"/>
  <c r="P51" i="4"/>
  <c r="O51" i="4"/>
  <c r="C51" i="4"/>
  <c r="B51" i="4"/>
  <c r="P50" i="4"/>
  <c r="Q50" i="4" s="1"/>
  <c r="T53" i="3" s="1"/>
  <c r="O50" i="4"/>
  <c r="C50" i="4"/>
  <c r="B50" i="4"/>
  <c r="O49" i="4"/>
  <c r="AE49" i="4" s="1"/>
  <c r="C49" i="4"/>
  <c r="B49" i="4"/>
  <c r="O48" i="4"/>
  <c r="AE48" i="4" s="1"/>
  <c r="C48" i="4"/>
  <c r="B48" i="4"/>
  <c r="P47" i="4"/>
  <c r="O47" i="4"/>
  <c r="C47" i="4"/>
  <c r="B47" i="4"/>
  <c r="P46" i="4"/>
  <c r="O46" i="4"/>
  <c r="C46" i="4"/>
  <c r="B46" i="4"/>
  <c r="P45" i="4"/>
  <c r="O45" i="4"/>
  <c r="C45" i="4"/>
  <c r="B45" i="4"/>
  <c r="P44" i="4"/>
  <c r="Q44" i="4" s="1"/>
  <c r="T32" i="3" s="1"/>
  <c r="O44" i="4"/>
  <c r="C44" i="4"/>
  <c r="B44" i="4"/>
  <c r="P43" i="4"/>
  <c r="AE43" i="4" s="1"/>
  <c r="O43" i="4"/>
  <c r="C43" i="4"/>
  <c r="B43" i="4"/>
  <c r="P42" i="4"/>
  <c r="O42" i="4"/>
  <c r="C42" i="4"/>
  <c r="B42" i="4"/>
  <c r="Q41" i="4"/>
  <c r="T29" i="3" s="1"/>
  <c r="P41" i="4"/>
  <c r="O41" i="4"/>
  <c r="C41" i="4"/>
  <c r="B41" i="4"/>
  <c r="P40" i="4"/>
  <c r="O40" i="4"/>
  <c r="C40" i="4"/>
  <c r="B40" i="4"/>
  <c r="Q39" i="4"/>
  <c r="T27" i="3" s="1"/>
  <c r="O39" i="4"/>
  <c r="AE39" i="4" s="1"/>
  <c r="C39" i="4"/>
  <c r="B39" i="4"/>
  <c r="O38" i="4"/>
  <c r="AE38" i="4" s="1"/>
  <c r="C38" i="4"/>
  <c r="B38" i="4"/>
  <c r="Q37" i="4"/>
  <c r="O37" i="4"/>
  <c r="AE37" i="4" s="1"/>
  <c r="C37" i="4"/>
  <c r="B37" i="4"/>
  <c r="Q36" i="4"/>
  <c r="T24" i="3" s="1"/>
  <c r="O36" i="4"/>
  <c r="AE36" i="4" s="1"/>
  <c r="C36" i="4"/>
  <c r="B36" i="4"/>
  <c r="Q35" i="4"/>
  <c r="T23" i="3" s="1"/>
  <c r="O35" i="4"/>
  <c r="AE35" i="4" s="1"/>
  <c r="C35" i="4"/>
  <c r="B35" i="4"/>
  <c r="Q34" i="4"/>
  <c r="T22" i="3" s="1"/>
  <c r="O34" i="4"/>
  <c r="AE34" i="4" s="1"/>
  <c r="C34" i="4"/>
  <c r="B34" i="4"/>
  <c r="O33" i="4"/>
  <c r="AE33" i="4" s="1"/>
  <c r="C33" i="4"/>
  <c r="B33" i="4"/>
  <c r="Q32" i="4"/>
  <c r="O32" i="4"/>
  <c r="AE32" i="4" s="1"/>
  <c r="C32" i="4"/>
  <c r="B32" i="4"/>
  <c r="Q31" i="4"/>
  <c r="T19" i="3" s="1"/>
  <c r="O31" i="4"/>
  <c r="AE31" i="4" s="1"/>
  <c r="C31" i="4"/>
  <c r="B31" i="4"/>
  <c r="O30" i="4"/>
  <c r="AE30" i="4" s="1"/>
  <c r="C30" i="4"/>
  <c r="B30" i="4"/>
  <c r="AE29" i="4"/>
  <c r="T29" i="4"/>
  <c r="S29" i="4"/>
  <c r="Q29" i="4"/>
  <c r="S28" i="4"/>
  <c r="S27" i="4"/>
  <c r="N27" i="4"/>
  <c r="M27" i="4"/>
  <c r="L27" i="4"/>
  <c r="K27" i="4"/>
  <c r="J27" i="4"/>
  <c r="H27" i="4"/>
  <c r="G27" i="4"/>
  <c r="F27" i="4"/>
  <c r="E27" i="4"/>
  <c r="S26" i="4"/>
  <c r="P26" i="4"/>
  <c r="T26" i="4" s="1"/>
  <c r="O26" i="4"/>
  <c r="I26" i="4"/>
  <c r="I27" i="4" s="1"/>
  <c r="C26" i="4"/>
  <c r="B26" i="4"/>
  <c r="P25" i="4"/>
  <c r="Q25" i="4" s="1"/>
  <c r="O25" i="4"/>
  <c r="C25" i="4"/>
  <c r="B25" i="4"/>
  <c r="P24" i="4"/>
  <c r="O24" i="4"/>
  <c r="C24" i="4"/>
  <c r="B24" i="4"/>
  <c r="AE23" i="4"/>
  <c r="T23" i="4"/>
  <c r="S23" i="4"/>
  <c r="Q23" i="4"/>
  <c r="S22" i="4"/>
  <c r="P22" i="4"/>
  <c r="T22" i="4" s="1"/>
  <c r="N22" i="4"/>
  <c r="M22" i="4"/>
  <c r="L22" i="4"/>
  <c r="K22" i="4"/>
  <c r="G22" i="4"/>
  <c r="F22" i="4"/>
  <c r="E22" i="4"/>
  <c r="T21" i="4"/>
  <c r="S21" i="4"/>
  <c r="Q21" i="4"/>
  <c r="Q22" i="4" s="1"/>
  <c r="O21" i="4"/>
  <c r="AE21" i="4" s="1"/>
  <c r="I21" i="4"/>
  <c r="J21" i="4" s="1"/>
  <c r="J22" i="4" s="1"/>
  <c r="H21" i="4"/>
  <c r="H22" i="4" s="1"/>
  <c r="C21" i="4"/>
  <c r="B21" i="4"/>
  <c r="T20" i="4"/>
  <c r="S20" i="4"/>
  <c r="Q20" i="4"/>
  <c r="O20" i="4"/>
  <c r="AE20" i="4" s="1"/>
  <c r="S19" i="4"/>
  <c r="S18" i="4"/>
  <c r="Q18" i="4"/>
  <c r="N18" i="4"/>
  <c r="M18" i="4"/>
  <c r="L18" i="4"/>
  <c r="K18" i="4"/>
  <c r="J18" i="4"/>
  <c r="I18" i="4"/>
  <c r="H18" i="4"/>
  <c r="G18" i="4"/>
  <c r="F18" i="4"/>
  <c r="F19" i="4" s="1"/>
  <c r="E18" i="4"/>
  <c r="S17" i="4"/>
  <c r="P17" i="4"/>
  <c r="P18" i="4" s="1"/>
  <c r="O17" i="4"/>
  <c r="O18" i="4" s="1"/>
  <c r="C17" i="4"/>
  <c r="B17" i="4"/>
  <c r="S16" i="4"/>
  <c r="P16" i="4"/>
  <c r="N16" i="4"/>
  <c r="M16" i="4"/>
  <c r="L16" i="4"/>
  <c r="K16" i="4"/>
  <c r="H16" i="4"/>
  <c r="F16" i="4"/>
  <c r="E16" i="4"/>
  <c r="Q15" i="4"/>
  <c r="T15" i="3" s="1"/>
  <c r="O15" i="4"/>
  <c r="AE15" i="4" s="1"/>
  <c r="C15" i="4"/>
  <c r="B15" i="4"/>
  <c r="AE14" i="4"/>
  <c r="Q14" i="4"/>
  <c r="T14" i="3" s="1"/>
  <c r="O14" i="4"/>
  <c r="C14" i="4"/>
  <c r="B14" i="4"/>
  <c r="Q13" i="4"/>
  <c r="T13" i="3" s="1"/>
  <c r="O13" i="4"/>
  <c r="C13" i="4"/>
  <c r="B13" i="4"/>
  <c r="AE12" i="4"/>
  <c r="Q12" i="4"/>
  <c r="T12" i="3" s="1"/>
  <c r="C12" i="4"/>
  <c r="B12" i="4"/>
  <c r="AE11" i="4"/>
  <c r="Q11" i="4"/>
  <c r="T11" i="3" s="1"/>
  <c r="C11" i="4"/>
  <c r="B11" i="4"/>
  <c r="AE10" i="4"/>
  <c r="Q10" i="4"/>
  <c r="T10" i="3" s="1"/>
  <c r="C10" i="4"/>
  <c r="B10" i="4"/>
  <c r="AE9" i="4"/>
  <c r="Q9" i="4"/>
  <c r="C9" i="4"/>
  <c r="B9" i="4"/>
  <c r="AE8" i="4"/>
  <c r="Q8" i="4"/>
  <c r="T8" i="3" s="1"/>
  <c r="C8" i="4"/>
  <c r="B8" i="4"/>
  <c r="AE7" i="4"/>
  <c r="Q7" i="4"/>
  <c r="T7" i="3" s="1"/>
  <c r="C7" i="4"/>
  <c r="B7" i="4"/>
  <c r="AE6" i="4"/>
  <c r="Q6" i="4"/>
  <c r="T6" i="3" s="1"/>
  <c r="C6" i="4"/>
  <c r="B6" i="4"/>
  <c r="AE5" i="4"/>
  <c r="T5" i="4"/>
  <c r="S5" i="4"/>
  <c r="I5" i="4"/>
  <c r="J5" i="4" s="1"/>
  <c r="C5" i="4"/>
  <c r="B5" i="4"/>
  <c r="T4" i="4"/>
  <c r="S4" i="4"/>
  <c r="O4" i="4"/>
  <c r="AE4" i="4" s="1"/>
  <c r="I4" i="4"/>
  <c r="I16" i="4" s="1"/>
  <c r="G4" i="4"/>
  <c r="C4" i="4"/>
  <c r="B4" i="4"/>
  <c r="S3" i="4"/>
  <c r="N77" i="4" l="1"/>
  <c r="J105" i="4"/>
  <c r="J160" i="4" s="1"/>
  <c r="AE110" i="4"/>
  <c r="AE116" i="4"/>
  <c r="AE119" i="4"/>
  <c r="Q187" i="4"/>
  <c r="T261" i="3" s="1"/>
  <c r="AC40" i="5"/>
  <c r="Q46" i="5"/>
  <c r="T391" i="3"/>
  <c r="T395" i="3" s="1"/>
  <c r="Q50" i="5"/>
  <c r="T398" i="3"/>
  <c r="T399" i="3" s="1"/>
  <c r="AC214" i="5"/>
  <c r="AC299" i="5"/>
  <c r="AC300" i="5"/>
  <c r="AC367" i="5"/>
  <c r="AC379" i="5"/>
  <c r="AC380" i="5"/>
  <c r="Q172" i="5"/>
  <c r="T525" i="3"/>
  <c r="T527" i="3" s="1"/>
  <c r="N64" i="4"/>
  <c r="AE61" i="4"/>
  <c r="AE70" i="4"/>
  <c r="AE81" i="4"/>
  <c r="AE107" i="4"/>
  <c r="N196" i="4"/>
  <c r="AE193" i="4"/>
  <c r="AE198" i="4"/>
  <c r="N212" i="4"/>
  <c r="J242" i="4"/>
  <c r="J244" i="4" s="1"/>
  <c r="AE247" i="4"/>
  <c r="AC16" i="5"/>
  <c r="T415" i="3"/>
  <c r="AC56" i="5"/>
  <c r="T468" i="3"/>
  <c r="AC163" i="5"/>
  <c r="AC164" i="5"/>
  <c r="AC165" i="5"/>
  <c r="AC169" i="5"/>
  <c r="AC218" i="5"/>
  <c r="F285" i="5"/>
  <c r="F390" i="5" s="1"/>
  <c r="F391" i="5" s="1"/>
  <c r="J285" i="5"/>
  <c r="N285" i="5"/>
  <c r="AC313" i="5"/>
  <c r="Q327" i="5"/>
  <c r="T681" i="3"/>
  <c r="T683" i="3" s="1"/>
  <c r="AC342" i="5"/>
  <c r="T343" i="3"/>
  <c r="T375" i="3"/>
  <c r="N19" i="4"/>
  <c r="AE63" i="4"/>
  <c r="AE74" i="4"/>
  <c r="AE185" i="4"/>
  <c r="AE187" i="4"/>
  <c r="T240" i="4"/>
  <c r="AC84" i="5"/>
  <c r="AC88" i="5"/>
  <c r="AC90" i="5"/>
  <c r="AC117" i="5"/>
  <c r="T500" i="3"/>
  <c r="T531" i="3"/>
  <c r="AC206" i="5"/>
  <c r="H285" i="5"/>
  <c r="AC283" i="5"/>
  <c r="G285" i="5"/>
  <c r="K285" i="5"/>
  <c r="R285" i="5"/>
  <c r="Q341" i="5"/>
  <c r="T694" i="3"/>
  <c r="T697" i="3" s="1"/>
  <c r="T37" i="3"/>
  <c r="T38" i="3" s="1"/>
  <c r="H127" i="5"/>
  <c r="L127" i="5"/>
  <c r="O327" i="5"/>
  <c r="G351" i="5"/>
  <c r="AC17" i="5"/>
  <c r="AC30" i="5"/>
  <c r="AC31" i="5"/>
  <c r="AC33" i="5"/>
  <c r="AC34" i="5"/>
  <c r="O66" i="5"/>
  <c r="AC54" i="5"/>
  <c r="AC55" i="5"/>
  <c r="AC74" i="5"/>
  <c r="AC75" i="5"/>
  <c r="K78" i="5"/>
  <c r="P104" i="5"/>
  <c r="AC114" i="5"/>
  <c r="E127" i="5"/>
  <c r="I127" i="5"/>
  <c r="M127" i="5"/>
  <c r="Q176" i="5"/>
  <c r="AC181" i="5"/>
  <c r="AC182" i="5"/>
  <c r="AC183" i="5"/>
  <c r="AC198" i="5"/>
  <c r="AC208" i="5"/>
  <c r="AC209" i="5"/>
  <c r="AC210" i="5"/>
  <c r="O227" i="5"/>
  <c r="AC253" i="5"/>
  <c r="AC255" i="5"/>
  <c r="L285" i="5"/>
  <c r="AC318" i="5"/>
  <c r="AC322" i="5"/>
  <c r="AC326" i="5"/>
  <c r="AC336" i="5"/>
  <c r="AC337" i="5"/>
  <c r="AC338" i="5"/>
  <c r="AC355" i="5"/>
  <c r="P389" i="5"/>
  <c r="AC371" i="5"/>
  <c r="AC373" i="5"/>
  <c r="AC378" i="5"/>
  <c r="O21" i="5"/>
  <c r="AC8" i="5"/>
  <c r="AC9" i="5"/>
  <c r="AC11" i="5"/>
  <c r="AC12" i="5"/>
  <c r="O119" i="5"/>
  <c r="F127" i="5"/>
  <c r="J127" i="5"/>
  <c r="N127" i="5"/>
  <c r="O148" i="5"/>
  <c r="AC141" i="5"/>
  <c r="AC156" i="5"/>
  <c r="AC157" i="5"/>
  <c r="AC158" i="5"/>
  <c r="AC159" i="5"/>
  <c r="H243" i="5"/>
  <c r="L243" i="5"/>
  <c r="AC259" i="5"/>
  <c r="AC261" i="5"/>
  <c r="AC267" i="5"/>
  <c r="AC268" i="5"/>
  <c r="AC271" i="5"/>
  <c r="P308" i="5"/>
  <c r="AC304" i="5"/>
  <c r="AC305" i="5"/>
  <c r="AC306" i="5"/>
  <c r="P341" i="5"/>
  <c r="F351" i="5"/>
  <c r="J351" i="5"/>
  <c r="N351" i="5"/>
  <c r="AC42" i="5"/>
  <c r="AC48" i="5"/>
  <c r="AC49" i="5"/>
  <c r="AC71" i="5"/>
  <c r="AC82" i="5"/>
  <c r="AC93" i="5"/>
  <c r="AC94" i="5"/>
  <c r="AC122" i="5"/>
  <c r="AC123" i="5"/>
  <c r="G127" i="5"/>
  <c r="K127" i="5"/>
  <c r="R127" i="5"/>
  <c r="Q148" i="5"/>
  <c r="AC142" i="5"/>
  <c r="O176" i="5"/>
  <c r="AC191" i="5"/>
  <c r="AC192" i="5"/>
  <c r="AC204" i="5"/>
  <c r="AC235" i="5"/>
  <c r="AC236" i="5"/>
  <c r="AC238" i="5"/>
  <c r="AC239" i="5"/>
  <c r="AC275" i="5"/>
  <c r="AC276" i="5"/>
  <c r="AC278" i="5"/>
  <c r="P295" i="5"/>
  <c r="AC292" i="5"/>
  <c r="AC294" i="5"/>
  <c r="AC312" i="5"/>
  <c r="AC317" i="5"/>
  <c r="K351" i="5"/>
  <c r="R351" i="5"/>
  <c r="AC386" i="5"/>
  <c r="T304" i="3"/>
  <c r="Q27" i="4"/>
  <c r="T41" i="3"/>
  <c r="AE127" i="4"/>
  <c r="AE128" i="4"/>
  <c r="AE166" i="4"/>
  <c r="AE167" i="4"/>
  <c r="AE169" i="4"/>
  <c r="AE170" i="4"/>
  <c r="AE171" i="4"/>
  <c r="AE172" i="4"/>
  <c r="AE174" i="4"/>
  <c r="AE178" i="4"/>
  <c r="AE191" i="4"/>
  <c r="O46" i="5"/>
  <c r="O78" i="5" s="1"/>
  <c r="O95" i="5"/>
  <c r="AC95" i="5" s="1"/>
  <c r="AC103" i="5"/>
  <c r="O126" i="5"/>
  <c r="AC121" i="5"/>
  <c r="P136" i="5"/>
  <c r="V136" i="5" s="1"/>
  <c r="AC130" i="5"/>
  <c r="Q130" i="5"/>
  <c r="T479" i="3" s="1"/>
  <c r="Q93" i="4"/>
  <c r="T123" i="3" s="1"/>
  <c r="T166" i="3" s="1"/>
  <c r="AE123" i="4"/>
  <c r="AE131" i="4"/>
  <c r="O218" i="4"/>
  <c r="Q214" i="4"/>
  <c r="AE216" i="4"/>
  <c r="AE221" i="4"/>
  <c r="O240" i="4"/>
  <c r="AE240" i="4" s="1"/>
  <c r="O249" i="4"/>
  <c r="P21" i="5"/>
  <c r="P26" i="5"/>
  <c r="P46" i="5"/>
  <c r="AC44" i="5"/>
  <c r="Q66" i="5"/>
  <c r="O77" i="5"/>
  <c r="P91" i="5"/>
  <c r="AC89" i="5"/>
  <c r="Q119" i="5"/>
  <c r="AC134" i="5"/>
  <c r="Q134" i="5"/>
  <c r="T483" i="3" s="1"/>
  <c r="AE46" i="4"/>
  <c r="Q64" i="4"/>
  <c r="T69" i="3"/>
  <c r="AE40" i="4"/>
  <c r="AE41" i="4"/>
  <c r="AE52" i="4"/>
  <c r="AE53" i="4"/>
  <c r="AE54" i="4"/>
  <c r="O104" i="4"/>
  <c r="AE136" i="4"/>
  <c r="AE139" i="4"/>
  <c r="AE145" i="4"/>
  <c r="AE146" i="4"/>
  <c r="AE149" i="4"/>
  <c r="AE150" i="4"/>
  <c r="T174" i="4"/>
  <c r="P184" i="4"/>
  <c r="T184" i="4" s="1"/>
  <c r="AE182" i="4"/>
  <c r="AE192" i="4"/>
  <c r="AE200" i="4"/>
  <c r="P206" i="4"/>
  <c r="T206" i="4" s="1"/>
  <c r="P218" i="4"/>
  <c r="T218" i="4" s="1"/>
  <c r="Q221" i="4"/>
  <c r="T322" i="3" s="1"/>
  <c r="AC10" i="5"/>
  <c r="AC15" i="5"/>
  <c r="AC32" i="5"/>
  <c r="AC37" i="5"/>
  <c r="AC38" i="5"/>
  <c r="AC59" i="5"/>
  <c r="AC62" i="5"/>
  <c r="AC83" i="5"/>
  <c r="AC97" i="5"/>
  <c r="AC98" i="5"/>
  <c r="AC105" i="5"/>
  <c r="P119" i="5"/>
  <c r="AC115" i="5"/>
  <c r="AC116" i="5"/>
  <c r="AC118" i="5"/>
  <c r="Q121" i="5"/>
  <c r="T470" i="3" s="1"/>
  <c r="T475" i="3" s="1"/>
  <c r="AE24" i="4"/>
  <c r="AE25" i="4"/>
  <c r="AE93" i="4"/>
  <c r="AE100" i="4"/>
  <c r="AE101" i="4"/>
  <c r="AE112" i="4"/>
  <c r="AE114" i="4"/>
  <c r="AE115" i="4"/>
  <c r="AE121" i="4"/>
  <c r="AE155" i="4"/>
  <c r="AE156" i="4"/>
  <c r="Q184" i="4"/>
  <c r="T251" i="3"/>
  <c r="T253" i="3" s="1"/>
  <c r="AE186" i="4"/>
  <c r="P212" i="4"/>
  <c r="T212" i="4" s="1"/>
  <c r="AE208" i="4"/>
  <c r="AE248" i="4"/>
  <c r="AC41" i="5"/>
  <c r="AC70" i="5"/>
  <c r="AC68" i="5"/>
  <c r="O73" i="5"/>
  <c r="AC73" i="5" s="1"/>
  <c r="AC85" i="5"/>
  <c r="AC87" i="5"/>
  <c r="AC100" i="5"/>
  <c r="AC101" i="5"/>
  <c r="AC136" i="5"/>
  <c r="AC133" i="5"/>
  <c r="P148" i="5"/>
  <c r="AC139" i="5"/>
  <c r="AC155" i="5"/>
  <c r="AC178" i="5"/>
  <c r="P216" i="5"/>
  <c r="AC188" i="5"/>
  <c r="AC189" i="5"/>
  <c r="AC190" i="5"/>
  <c r="AC196" i="5"/>
  <c r="AC197" i="5"/>
  <c r="AC202" i="5"/>
  <c r="AC203" i="5"/>
  <c r="AC207" i="5"/>
  <c r="Q214" i="5"/>
  <c r="T569" i="3" s="1"/>
  <c r="T571" i="3" s="1"/>
  <c r="AC226" i="5"/>
  <c r="AC229" i="5"/>
  <c r="AC231" i="5"/>
  <c r="AC233" i="5"/>
  <c r="AC249" i="5"/>
  <c r="AC250" i="5"/>
  <c r="AC254" i="5"/>
  <c r="AC256" i="5"/>
  <c r="AC273" i="5"/>
  <c r="AC274" i="5"/>
  <c r="AC281" i="5"/>
  <c r="AC310" i="5"/>
  <c r="AC314" i="5"/>
  <c r="AC315" i="5"/>
  <c r="AC316" i="5"/>
  <c r="AC334" i="5"/>
  <c r="AC335" i="5"/>
  <c r="AC339" i="5"/>
  <c r="AC340" i="5"/>
  <c r="AC354" i="5"/>
  <c r="AC357" i="5"/>
  <c r="AC361" i="5"/>
  <c r="AC369" i="5"/>
  <c r="AC370" i="5"/>
  <c r="AC374" i="5"/>
  <c r="AC375" i="5"/>
  <c r="AC382" i="5"/>
  <c r="AC383" i="5"/>
  <c r="AC148" i="5"/>
  <c r="AC302" i="5"/>
  <c r="AC106" i="5"/>
  <c r="AC107" i="5"/>
  <c r="AC112" i="5"/>
  <c r="AC113" i="5"/>
  <c r="AC124" i="5"/>
  <c r="AC131" i="5"/>
  <c r="AC135" i="5"/>
  <c r="AC144" i="5"/>
  <c r="P167" i="5"/>
  <c r="AC151" i="5"/>
  <c r="AC152" i="5"/>
  <c r="AC170" i="5"/>
  <c r="P176" i="5"/>
  <c r="AC174" i="5"/>
  <c r="AC193" i="5"/>
  <c r="AC194" i="5"/>
  <c r="AC199" i="5"/>
  <c r="AC200" i="5"/>
  <c r="AC205" i="5"/>
  <c r="P221" i="5"/>
  <c r="O221" i="5"/>
  <c r="AC240" i="5"/>
  <c r="AC252" i="5"/>
  <c r="AC272" i="5"/>
  <c r="AC289" i="5"/>
  <c r="AC320" i="5"/>
  <c r="P333" i="5"/>
  <c r="AC333" i="5" s="1"/>
  <c r="Q333" i="5"/>
  <c r="AC331" i="5"/>
  <c r="AC332" i="5"/>
  <c r="AC346" i="5"/>
  <c r="AC347" i="5"/>
  <c r="Q355" i="5"/>
  <c r="AC356" i="5"/>
  <c r="AC363" i="5"/>
  <c r="AC368" i="5"/>
  <c r="AC377" i="5"/>
  <c r="AC381" i="5"/>
  <c r="T16" i="3"/>
  <c r="AC125" i="5"/>
  <c r="AC146" i="5"/>
  <c r="AC150" i="5"/>
  <c r="AC154" i="5"/>
  <c r="AC161" i="5"/>
  <c r="O172" i="5"/>
  <c r="AC172" i="5" s="1"/>
  <c r="AC175" i="5"/>
  <c r="O216" i="5"/>
  <c r="AC216" i="5" s="1"/>
  <c r="AC185" i="5"/>
  <c r="AC186" i="5"/>
  <c r="AC301" i="5"/>
  <c r="T60" i="3"/>
  <c r="T77" i="3"/>
  <c r="H19" i="4"/>
  <c r="O57" i="4"/>
  <c r="Q46" i="4"/>
  <c r="T44" i="3" s="1"/>
  <c r="AE51" i="4"/>
  <c r="AE55" i="4"/>
  <c r="AE56" i="4"/>
  <c r="O64" i="4"/>
  <c r="AE68" i="4"/>
  <c r="AE72" i="4"/>
  <c r="AE73" i="4"/>
  <c r="AE78" i="4"/>
  <c r="P88" i="4"/>
  <c r="T88" i="4" s="1"/>
  <c r="Q83" i="4"/>
  <c r="T107" i="3" s="1"/>
  <c r="AE86" i="4"/>
  <c r="AE87" i="4"/>
  <c r="AE90" i="4"/>
  <c r="P104" i="4"/>
  <c r="AE95" i="4"/>
  <c r="AE99" i="4"/>
  <c r="AE106" i="4"/>
  <c r="AE108" i="4"/>
  <c r="AE111" i="4"/>
  <c r="AE117" i="4"/>
  <c r="AE118" i="4"/>
  <c r="AE129" i="4"/>
  <c r="AE130" i="4"/>
  <c r="Q136" i="4"/>
  <c r="T203" i="3" s="1"/>
  <c r="AE137" i="4"/>
  <c r="AE138" i="4"/>
  <c r="AE144" i="4"/>
  <c r="AE147" i="4"/>
  <c r="AE154" i="4"/>
  <c r="AE158" i="4"/>
  <c r="AE159" i="4"/>
  <c r="O176" i="4"/>
  <c r="AE165" i="4"/>
  <c r="AE175" i="4"/>
  <c r="O179" i="4"/>
  <c r="AE179" i="4" s="1"/>
  <c r="AE181" i="4"/>
  <c r="AE188" i="4"/>
  <c r="AE189" i="4"/>
  <c r="AE190" i="4"/>
  <c r="AE195" i="4"/>
  <c r="O202" i="4"/>
  <c r="AE199" i="4"/>
  <c r="J203" i="4"/>
  <c r="J206" i="4" s="1"/>
  <c r="AE205" i="4"/>
  <c r="O212" i="4"/>
  <c r="AE217" i="4"/>
  <c r="Q222" i="4"/>
  <c r="F223" i="4"/>
  <c r="T247" i="4"/>
  <c r="T16" i="4"/>
  <c r="H64" i="4"/>
  <c r="P64" i="4"/>
  <c r="T64" i="4" s="1"/>
  <c r="P77" i="4"/>
  <c r="T77" i="4" s="1"/>
  <c r="F77" i="4"/>
  <c r="P176" i="4"/>
  <c r="AE176" i="4" s="1"/>
  <c r="T203" i="4"/>
  <c r="K223" i="4"/>
  <c r="AE237" i="4"/>
  <c r="P27" i="4"/>
  <c r="T27" i="4" s="1"/>
  <c r="O71" i="4"/>
  <c r="O88" i="4"/>
  <c r="AE88" i="4" s="1"/>
  <c r="T102" i="4"/>
  <c r="Q16" i="4"/>
  <c r="O16" i="4"/>
  <c r="L19" i="4"/>
  <c r="P19" i="4"/>
  <c r="K19" i="4"/>
  <c r="K28" i="4" s="1"/>
  <c r="K250" i="4" s="1"/>
  <c r="O27" i="4"/>
  <c r="AE45" i="4"/>
  <c r="AE50" i="4"/>
  <c r="G60" i="4"/>
  <c r="G64" i="4" s="1"/>
  <c r="AE62" i="4"/>
  <c r="T63" i="4"/>
  <c r="H71" i="4"/>
  <c r="P71" i="4"/>
  <c r="T71" i="4" s="1"/>
  <c r="AE66" i="4"/>
  <c r="Q68" i="4"/>
  <c r="T81" i="3" s="1"/>
  <c r="I71" i="4"/>
  <c r="O77" i="4"/>
  <c r="AE77" i="4" s="1"/>
  <c r="Q78" i="4"/>
  <c r="AE82" i="4"/>
  <c r="AE83" i="4"/>
  <c r="AE85" i="4"/>
  <c r="J104" i="4"/>
  <c r="T92" i="4"/>
  <c r="AE97" i="4"/>
  <c r="AE102" i="4"/>
  <c r="AE109" i="4"/>
  <c r="AE120" i="4"/>
  <c r="AE125" i="4"/>
  <c r="AE126" i="4"/>
  <c r="AE135" i="4"/>
  <c r="AE148" i="4"/>
  <c r="AE151" i="4"/>
  <c r="AE153" i="4"/>
  <c r="AE164" i="4"/>
  <c r="AE168" i="4"/>
  <c r="AE173" i="4"/>
  <c r="H185" i="4"/>
  <c r="H196" i="4" s="1"/>
  <c r="H223" i="4" s="1"/>
  <c r="P196" i="4"/>
  <c r="T196" i="4" s="1"/>
  <c r="AE201" i="4"/>
  <c r="G206" i="4"/>
  <c r="O206" i="4"/>
  <c r="AE206" i="4" s="1"/>
  <c r="AE204" i="4"/>
  <c r="AE209" i="4"/>
  <c r="AE210" i="4"/>
  <c r="N218" i="4"/>
  <c r="N223" i="4" s="1"/>
  <c r="T213" i="4"/>
  <c r="AE215" i="4"/>
  <c r="L223" i="4"/>
  <c r="AE225" i="4"/>
  <c r="Q240" i="4"/>
  <c r="AE211" i="4"/>
  <c r="AE220" i="4"/>
  <c r="E223" i="4"/>
  <c r="M223" i="4"/>
  <c r="AE236" i="4"/>
  <c r="T244" i="4"/>
  <c r="AC21" i="5"/>
  <c r="Q21" i="5"/>
  <c r="Q26" i="5"/>
  <c r="AC26" i="5"/>
  <c r="AC46" i="5"/>
  <c r="AC50" i="5"/>
  <c r="G78" i="5"/>
  <c r="AC28" i="5"/>
  <c r="P66" i="5"/>
  <c r="P77" i="5"/>
  <c r="AC76" i="5"/>
  <c r="H78" i="5"/>
  <c r="L78" i="5"/>
  <c r="AC126" i="5"/>
  <c r="J4" i="5"/>
  <c r="J21" i="5" s="1"/>
  <c r="AC29" i="5"/>
  <c r="AC47" i="5"/>
  <c r="E78" i="5"/>
  <c r="I78" i="5"/>
  <c r="M78" i="5"/>
  <c r="R78" i="5"/>
  <c r="AC80" i="5"/>
  <c r="O91" i="5"/>
  <c r="AC91" i="5" s="1"/>
  <c r="P127" i="5"/>
  <c r="F78" i="5"/>
  <c r="J78" i="5"/>
  <c r="N78" i="5"/>
  <c r="Q126" i="5"/>
  <c r="AC167" i="5"/>
  <c r="Q167" i="5"/>
  <c r="AC176" i="5"/>
  <c r="Q97" i="5"/>
  <c r="O104" i="5"/>
  <c r="AC104" i="5" s="1"/>
  <c r="AC173" i="5"/>
  <c r="Q225" i="5"/>
  <c r="AC234" i="5"/>
  <c r="G243" i="5"/>
  <c r="G390" i="5" s="1"/>
  <c r="G391" i="5" s="1"/>
  <c r="K243" i="5"/>
  <c r="K390" i="5" s="1"/>
  <c r="K391" i="5" s="1"/>
  <c r="P242" i="5"/>
  <c r="O284" i="5"/>
  <c r="AC291" i="5"/>
  <c r="Q291" i="5"/>
  <c r="T646" i="3" s="1"/>
  <c r="O350" i="5"/>
  <c r="Q67" i="5"/>
  <c r="Q80" i="5"/>
  <c r="AC92" i="5"/>
  <c r="AC140" i="5"/>
  <c r="AC171" i="5"/>
  <c r="AC223" i="5"/>
  <c r="R243" i="5"/>
  <c r="AC277" i="5"/>
  <c r="Q277" i="5"/>
  <c r="T632" i="3" s="1"/>
  <c r="T639" i="3" s="1"/>
  <c r="E285" i="5"/>
  <c r="I285" i="5"/>
  <c r="M285" i="5"/>
  <c r="AC293" i="5"/>
  <c r="Q293" i="5"/>
  <c r="T649" i="3" s="1"/>
  <c r="O321" i="5"/>
  <c r="AC311" i="5"/>
  <c r="AC319" i="5"/>
  <c r="Q319" i="5"/>
  <c r="H351" i="5"/>
  <c r="L351" i="5"/>
  <c r="O358" i="5"/>
  <c r="AC358" i="5" s="1"/>
  <c r="AC353" i="5"/>
  <c r="Q216" i="5"/>
  <c r="AC220" i="5"/>
  <c r="P227" i="5"/>
  <c r="AC227" i="5" s="1"/>
  <c r="O242" i="5"/>
  <c r="AC237" i="5"/>
  <c r="Q237" i="5"/>
  <c r="E243" i="5"/>
  <c r="E390" i="5" s="1"/>
  <c r="E391" i="5" s="1"/>
  <c r="I243" i="5"/>
  <c r="M243" i="5"/>
  <c r="P269" i="5"/>
  <c r="AC280" i="5"/>
  <c r="Q280" i="5"/>
  <c r="T635" i="3" s="1"/>
  <c r="AC303" i="5"/>
  <c r="Q303" i="5"/>
  <c r="P321" i="5"/>
  <c r="O341" i="5"/>
  <c r="AC341" i="5" s="1"/>
  <c r="E351" i="5"/>
  <c r="I351" i="5"/>
  <c r="M351" i="5"/>
  <c r="AC389" i="5"/>
  <c r="F243" i="5"/>
  <c r="J243" i="5"/>
  <c r="J390" i="5" s="1"/>
  <c r="N243" i="5"/>
  <c r="AC248" i="5"/>
  <c r="Q248" i="5"/>
  <c r="AC282" i="5"/>
  <c r="Q282" i="5"/>
  <c r="T637" i="3" s="1"/>
  <c r="P284" i="5"/>
  <c r="P285" i="5" s="1"/>
  <c r="AC288" i="5"/>
  <c r="Q288" i="5"/>
  <c r="T643" i="3" s="1"/>
  <c r="T651" i="3" s="1"/>
  <c r="O308" i="5"/>
  <c r="AC308" i="5" s="1"/>
  <c r="AC298" i="5"/>
  <c r="P327" i="5"/>
  <c r="AC323" i="5"/>
  <c r="AC327" i="5"/>
  <c r="AC343" i="5"/>
  <c r="P350" i="5"/>
  <c r="Q343" i="5"/>
  <c r="Q370" i="5"/>
  <c r="T726" i="3" s="1"/>
  <c r="Q383" i="5"/>
  <c r="T739" i="3" s="1"/>
  <c r="Q385" i="5"/>
  <c r="T741" i="3" s="1"/>
  <c r="T747" i="3" s="1"/>
  <c r="O269" i="5"/>
  <c r="O295" i="5"/>
  <c r="AC295" i="5" s="1"/>
  <c r="L28" i="4"/>
  <c r="H28" i="4"/>
  <c r="O19" i="4"/>
  <c r="AE26" i="4"/>
  <c r="J4" i="4"/>
  <c r="J16" i="4" s="1"/>
  <c r="J19" i="4" s="1"/>
  <c r="J28" i="4" s="1"/>
  <c r="E19" i="4"/>
  <c r="E28" i="4" s="1"/>
  <c r="I19" i="4"/>
  <c r="M19" i="4"/>
  <c r="T19" i="4" s="1"/>
  <c r="N28" i="4"/>
  <c r="H160" i="4"/>
  <c r="G5" i="4"/>
  <c r="G16" i="4" s="1"/>
  <c r="G19" i="4" s="1"/>
  <c r="G28" i="4" s="1"/>
  <c r="Q19" i="4"/>
  <c r="Q28" i="4" s="1"/>
  <c r="AE13" i="4"/>
  <c r="AE17" i="4"/>
  <c r="T18" i="4"/>
  <c r="I22" i="4"/>
  <c r="I28" i="4" s="1"/>
  <c r="F28" i="4"/>
  <c r="AE42" i="4"/>
  <c r="AE47" i="4"/>
  <c r="AE64" i="4"/>
  <c r="T104" i="4"/>
  <c r="P57" i="4"/>
  <c r="T57" i="4" s="1"/>
  <c r="Q42" i="4"/>
  <c r="AE44" i="4"/>
  <c r="AE57" i="4"/>
  <c r="O22" i="4"/>
  <c r="J59" i="4"/>
  <c r="J64" i="4" s="1"/>
  <c r="AE65" i="4"/>
  <c r="G71" i="4"/>
  <c r="T72" i="4"/>
  <c r="AE76" i="4"/>
  <c r="G78" i="4"/>
  <c r="I88" i="4"/>
  <c r="AE89" i="4"/>
  <c r="H91" i="4"/>
  <c r="H104" i="4" s="1"/>
  <c r="G92" i="4"/>
  <c r="H92" i="4" s="1"/>
  <c r="AE92" i="4"/>
  <c r="O160" i="4"/>
  <c r="P160" i="4"/>
  <c r="AE113" i="4"/>
  <c r="F161" i="4"/>
  <c r="F250" i="4" s="1"/>
  <c r="AE218" i="4"/>
  <c r="AE222" i="4"/>
  <c r="T59" i="4"/>
  <c r="T60" i="4"/>
  <c r="Q65" i="4"/>
  <c r="T69" i="4"/>
  <c r="I77" i="4"/>
  <c r="T94" i="4"/>
  <c r="S95" i="4"/>
  <c r="I104" i="4"/>
  <c r="Q106" i="4"/>
  <c r="K161" i="4"/>
  <c r="AE212" i="4"/>
  <c r="T222" i="4"/>
  <c r="AE59" i="4"/>
  <c r="AE60" i="4"/>
  <c r="AE69" i="4"/>
  <c r="AE94" i="4"/>
  <c r="J161" i="4"/>
  <c r="L161" i="4"/>
  <c r="G223" i="4"/>
  <c r="T79" i="4"/>
  <c r="G160" i="4"/>
  <c r="N161" i="4"/>
  <c r="E161" i="4"/>
  <c r="M161" i="4"/>
  <c r="T163" i="4"/>
  <c r="J165" i="4"/>
  <c r="J176" i="4" s="1"/>
  <c r="Q175" i="4"/>
  <c r="T244" i="3" s="1"/>
  <c r="M176" i="4"/>
  <c r="T176" i="4" s="1"/>
  <c r="I184" i="4"/>
  <c r="I196" i="4"/>
  <c r="J197" i="4"/>
  <c r="J202" i="4" s="1"/>
  <c r="Q197" i="4"/>
  <c r="AE203" i="4"/>
  <c r="T207" i="4"/>
  <c r="AE219" i="4"/>
  <c r="AE246" i="4"/>
  <c r="T248" i="4"/>
  <c r="G249" i="4"/>
  <c r="AE163" i="4"/>
  <c r="P202" i="4"/>
  <c r="T202" i="4" s="1"/>
  <c r="AE207" i="4"/>
  <c r="AE213" i="4"/>
  <c r="T214" i="4"/>
  <c r="J246" i="4"/>
  <c r="J249" i="4" s="1"/>
  <c r="Q246" i="4"/>
  <c r="P249" i="4"/>
  <c r="Q163" i="4"/>
  <c r="T232" i="3" s="1"/>
  <c r="Q173" i="4"/>
  <c r="T242" i="3" s="1"/>
  <c r="S174" i="4"/>
  <c r="G176" i="4"/>
  <c r="T181" i="4"/>
  <c r="O184" i="4"/>
  <c r="AE184" i="4" s="1"/>
  <c r="T185" i="4"/>
  <c r="Q195" i="4"/>
  <c r="O196" i="4"/>
  <c r="AE196" i="4" s="1"/>
  <c r="T197" i="4"/>
  <c r="J207" i="4"/>
  <c r="J212" i="4" s="1"/>
  <c r="Q70" i="5" l="1"/>
  <c r="T416" i="3"/>
  <c r="T419" i="3" s="1"/>
  <c r="T427" i="3" s="1"/>
  <c r="L250" i="4"/>
  <c r="AE71" i="4"/>
  <c r="P28" i="4"/>
  <c r="Q269" i="5"/>
  <c r="T603" i="3"/>
  <c r="T624" i="3" s="1"/>
  <c r="T640" i="3" s="1"/>
  <c r="Q308" i="5"/>
  <c r="T659" i="3"/>
  <c r="T664" i="3" s="1"/>
  <c r="Q242" i="5"/>
  <c r="T592" i="3"/>
  <c r="T597" i="3" s="1"/>
  <c r="L390" i="5"/>
  <c r="L391" i="5" s="1"/>
  <c r="M390" i="5"/>
  <c r="M391" i="5" s="1"/>
  <c r="Q227" i="5"/>
  <c r="T580" i="3"/>
  <c r="T582" i="3" s="1"/>
  <c r="H390" i="5"/>
  <c r="H391" i="5" s="1"/>
  <c r="AE104" i="4"/>
  <c r="T485" i="3"/>
  <c r="Q350" i="5"/>
  <c r="Q351" i="5" s="1"/>
  <c r="T699" i="3"/>
  <c r="T706" i="3" s="1"/>
  <c r="Q104" i="5"/>
  <c r="T446" i="3"/>
  <c r="T453" i="3" s="1"/>
  <c r="I161" i="4"/>
  <c r="Q104" i="4"/>
  <c r="Q358" i="5"/>
  <c r="T711" i="3"/>
  <c r="T714" i="3" s="1"/>
  <c r="T476" i="3"/>
  <c r="J223" i="4"/>
  <c r="J250" i="4" s="1"/>
  <c r="E250" i="4"/>
  <c r="N390" i="5"/>
  <c r="N391" i="5" s="1"/>
  <c r="Q321" i="5"/>
  <c r="T675" i="3"/>
  <c r="T677" i="3" s="1"/>
  <c r="Q91" i="5"/>
  <c r="T429" i="3"/>
  <c r="T440" i="3" s="1"/>
  <c r="T45" i="3"/>
  <c r="T46" i="3" s="1"/>
  <c r="AC66" i="5"/>
  <c r="P351" i="5"/>
  <c r="R390" i="5"/>
  <c r="P78" i="5"/>
  <c r="I390" i="5"/>
  <c r="AC119" i="5"/>
  <c r="Q295" i="5"/>
  <c r="Q202" i="4"/>
  <c r="T278" i="3"/>
  <c r="T285" i="3" s="1"/>
  <c r="Q196" i="4"/>
  <c r="T270" i="3"/>
  <c r="T271" i="3" s="1"/>
  <c r="Q249" i="4"/>
  <c r="T345" i="3"/>
  <c r="T348" i="3" s="1"/>
  <c r="Q71" i="4"/>
  <c r="T78" i="3"/>
  <c r="O28" i="4"/>
  <c r="Q57" i="4"/>
  <c r="T30" i="3"/>
  <c r="T34" i="3" s="1"/>
  <c r="T35" i="3" s="1"/>
  <c r="AC269" i="5"/>
  <c r="Q218" i="4"/>
  <c r="Q223" i="4" s="1"/>
  <c r="T311" i="3"/>
  <c r="T325" i="3" s="1"/>
  <c r="T326" i="3" s="1"/>
  <c r="T245" i="3"/>
  <c r="Q160" i="4"/>
  <c r="T168" i="3"/>
  <c r="T229" i="3" s="1"/>
  <c r="Q284" i="5"/>
  <c r="Q285" i="5" s="1"/>
  <c r="Q78" i="5"/>
  <c r="Q88" i="4"/>
  <c r="T99" i="3"/>
  <c r="AC221" i="5"/>
  <c r="Q136" i="5"/>
  <c r="Q243" i="5" s="1"/>
  <c r="Q389" i="5"/>
  <c r="AC78" i="5"/>
  <c r="AC77" i="5"/>
  <c r="I223" i="4"/>
  <c r="N250" i="4"/>
  <c r="O243" i="5"/>
  <c r="AC242" i="5"/>
  <c r="AC350" i="5"/>
  <c r="O351" i="5"/>
  <c r="O285" i="5"/>
  <c r="AC285" i="5" s="1"/>
  <c r="AC284" i="5"/>
  <c r="Q127" i="5"/>
  <c r="AC321" i="5"/>
  <c r="P243" i="5"/>
  <c r="O127" i="5"/>
  <c r="AC127" i="5" s="1"/>
  <c r="P223" i="4"/>
  <c r="T223" i="4" s="1"/>
  <c r="G88" i="4"/>
  <c r="H78" i="4"/>
  <c r="H88" i="4" s="1"/>
  <c r="O223" i="4"/>
  <c r="T160" i="4"/>
  <c r="P161" i="4"/>
  <c r="T161" i="4" s="1"/>
  <c r="M28" i="4"/>
  <c r="M250" i="4" s="1"/>
  <c r="O161" i="4"/>
  <c r="AE160" i="4"/>
  <c r="T28" i="4"/>
  <c r="Q176" i="4"/>
  <c r="AE249" i="4"/>
  <c r="AE202" i="4"/>
  <c r="G104" i="4"/>
  <c r="H161" i="4"/>
  <c r="H250" i="4" s="1"/>
  <c r="T598" i="3" l="1"/>
  <c r="T748" i="3" s="1"/>
  <c r="G161" i="4"/>
  <c r="G250" i="4" s="1"/>
  <c r="I250" i="4"/>
  <c r="T707" i="3"/>
  <c r="P390" i="5"/>
  <c r="P391" i="5" s="1"/>
  <c r="T115" i="3"/>
  <c r="T230" i="3" s="1"/>
  <c r="T349" i="3" s="1"/>
  <c r="Q390" i="5"/>
  <c r="Q391" i="5" s="1"/>
  <c r="Q161" i="4"/>
  <c r="Q250" i="4" s="1"/>
  <c r="AC243" i="5"/>
  <c r="AC351" i="5"/>
  <c r="O390" i="5"/>
  <c r="O391" i="5" s="1"/>
  <c r="AE161" i="4"/>
  <c r="P250" i="4"/>
  <c r="AE223" i="4"/>
  <c r="O250" i="4"/>
  <c r="AE250" i="4" l="1"/>
  <c r="T749" i="3"/>
  <c r="S749" i="3"/>
  <c r="R749" i="3"/>
  <c r="Q749" i="3"/>
  <c r="P749" i="3"/>
  <c r="O749" i="3"/>
  <c r="N749" i="3"/>
  <c r="M749" i="3"/>
  <c r="L749" i="3"/>
  <c r="W747" i="3"/>
  <c r="V747" i="3"/>
  <c r="U747" i="3"/>
  <c r="O747" i="3"/>
  <c r="N747" i="3"/>
  <c r="M747" i="3"/>
  <c r="L747" i="3"/>
  <c r="K747" i="3"/>
  <c r="J747" i="3"/>
  <c r="I747" i="3"/>
  <c r="H747" i="3"/>
  <c r="G747" i="3"/>
  <c r="F747" i="3"/>
  <c r="D746" i="3"/>
  <c r="C746" i="3"/>
  <c r="D745" i="3"/>
  <c r="C745" i="3"/>
  <c r="R744" i="3"/>
  <c r="Q744" i="3"/>
  <c r="S744" i="3" s="1"/>
  <c r="P744" i="3"/>
  <c r="D744" i="3"/>
  <c r="C744" i="3"/>
  <c r="R743" i="3"/>
  <c r="Q743" i="3"/>
  <c r="S743" i="3" s="1"/>
  <c r="P743" i="3"/>
  <c r="D743" i="3"/>
  <c r="C743" i="3"/>
  <c r="R742" i="3"/>
  <c r="Q742" i="3"/>
  <c r="S742" i="3" s="1"/>
  <c r="P742" i="3"/>
  <c r="D742" i="3"/>
  <c r="C742" i="3"/>
  <c r="Q741" i="3"/>
  <c r="S741" i="3" s="1"/>
  <c r="P741" i="3"/>
  <c r="D741" i="3"/>
  <c r="C741" i="3"/>
  <c r="R740" i="3"/>
  <c r="Q740" i="3"/>
  <c r="S740" i="3" s="1"/>
  <c r="P740" i="3"/>
  <c r="D740" i="3"/>
  <c r="C740" i="3"/>
  <c r="R739" i="3"/>
  <c r="Q739" i="3"/>
  <c r="S739" i="3" s="1"/>
  <c r="P739" i="3"/>
  <c r="D739" i="3"/>
  <c r="C739" i="3"/>
  <c r="R738" i="3"/>
  <c r="Q738" i="3"/>
  <c r="S738" i="3" s="1"/>
  <c r="P738" i="3"/>
  <c r="D738" i="3"/>
  <c r="C738" i="3"/>
  <c r="R737" i="3"/>
  <c r="Q737" i="3"/>
  <c r="S737" i="3" s="1"/>
  <c r="P737" i="3"/>
  <c r="D737" i="3"/>
  <c r="C737" i="3"/>
  <c r="R736" i="3"/>
  <c r="Q736" i="3"/>
  <c r="S736" i="3" s="1"/>
  <c r="P736" i="3"/>
  <c r="D736" i="3"/>
  <c r="C736" i="3"/>
  <c r="R735" i="3"/>
  <c r="Q735" i="3"/>
  <c r="S735" i="3" s="1"/>
  <c r="P735" i="3"/>
  <c r="D735" i="3"/>
  <c r="C735" i="3"/>
  <c r="R734" i="3"/>
  <c r="Q734" i="3"/>
  <c r="S734" i="3" s="1"/>
  <c r="P734" i="3"/>
  <c r="D734" i="3"/>
  <c r="C734" i="3"/>
  <c r="R733" i="3"/>
  <c r="Q733" i="3"/>
  <c r="S733" i="3" s="1"/>
  <c r="P733" i="3"/>
  <c r="D733" i="3"/>
  <c r="C733" i="3"/>
  <c r="R732" i="3"/>
  <c r="Q732" i="3"/>
  <c r="S732" i="3" s="1"/>
  <c r="P732" i="3"/>
  <c r="D732" i="3"/>
  <c r="C732" i="3"/>
  <c r="R731" i="3"/>
  <c r="Q731" i="3"/>
  <c r="S731" i="3" s="1"/>
  <c r="P731" i="3"/>
  <c r="D731" i="3"/>
  <c r="C731" i="3"/>
  <c r="R730" i="3"/>
  <c r="Q730" i="3"/>
  <c r="S730" i="3" s="1"/>
  <c r="P730" i="3"/>
  <c r="D730" i="3"/>
  <c r="C730" i="3"/>
  <c r="Q729" i="3"/>
  <c r="S729" i="3" s="1"/>
  <c r="P729" i="3"/>
  <c r="D729" i="3"/>
  <c r="C729" i="3"/>
  <c r="Q728" i="3"/>
  <c r="S728" i="3" s="1"/>
  <c r="P728" i="3"/>
  <c r="D728" i="3"/>
  <c r="C728" i="3"/>
  <c r="R727" i="3"/>
  <c r="Q727" i="3"/>
  <c r="S727" i="3" s="1"/>
  <c r="P727" i="3"/>
  <c r="D727" i="3"/>
  <c r="C727" i="3"/>
  <c r="R726" i="3"/>
  <c r="Q726" i="3"/>
  <c r="S726" i="3" s="1"/>
  <c r="P726" i="3"/>
  <c r="D726" i="3"/>
  <c r="C726" i="3"/>
  <c r="R725" i="3"/>
  <c r="Q725" i="3"/>
  <c r="S725" i="3" s="1"/>
  <c r="P725" i="3"/>
  <c r="D725" i="3"/>
  <c r="C725" i="3"/>
  <c r="R724" i="3"/>
  <c r="Q724" i="3"/>
  <c r="S724" i="3" s="1"/>
  <c r="P724" i="3"/>
  <c r="D724" i="3"/>
  <c r="C724" i="3"/>
  <c r="R723" i="3"/>
  <c r="Q723" i="3"/>
  <c r="S723" i="3" s="1"/>
  <c r="P723" i="3"/>
  <c r="D723" i="3"/>
  <c r="C723" i="3"/>
  <c r="R722" i="3"/>
  <c r="Q722" i="3"/>
  <c r="S722" i="3" s="1"/>
  <c r="P722" i="3"/>
  <c r="D722" i="3"/>
  <c r="C722" i="3"/>
  <c r="R721" i="3"/>
  <c r="Q721" i="3"/>
  <c r="S721" i="3" s="1"/>
  <c r="P721" i="3"/>
  <c r="D721" i="3"/>
  <c r="C721" i="3"/>
  <c r="R720" i="3"/>
  <c r="Q720" i="3"/>
  <c r="S720" i="3" s="1"/>
  <c r="P720" i="3"/>
  <c r="D720" i="3"/>
  <c r="C720" i="3"/>
  <c r="R719" i="3"/>
  <c r="Q719" i="3"/>
  <c r="S719" i="3" s="1"/>
  <c r="P719" i="3"/>
  <c r="D719" i="3"/>
  <c r="C719" i="3"/>
  <c r="R718" i="3"/>
  <c r="Q718" i="3"/>
  <c r="S718" i="3" s="1"/>
  <c r="P718" i="3"/>
  <c r="D718" i="3"/>
  <c r="C718" i="3"/>
  <c r="R717" i="3"/>
  <c r="Q717" i="3"/>
  <c r="S717" i="3" s="1"/>
  <c r="P717" i="3"/>
  <c r="D717" i="3"/>
  <c r="C717" i="3"/>
  <c r="R716" i="3"/>
  <c r="Q716" i="3"/>
  <c r="S716" i="3" s="1"/>
  <c r="P716" i="3"/>
  <c r="D716" i="3"/>
  <c r="C716" i="3"/>
  <c r="W714" i="3"/>
  <c r="V714" i="3"/>
  <c r="U714" i="3"/>
  <c r="O714" i="3"/>
  <c r="N714" i="3"/>
  <c r="M714" i="3"/>
  <c r="L714" i="3"/>
  <c r="K714" i="3"/>
  <c r="J714" i="3"/>
  <c r="I714" i="3"/>
  <c r="H714" i="3"/>
  <c r="G714" i="3"/>
  <c r="F714" i="3"/>
  <c r="R713" i="3"/>
  <c r="Q713" i="3"/>
  <c r="S713" i="3" s="1"/>
  <c r="P713" i="3"/>
  <c r="D713" i="3"/>
  <c r="C713" i="3"/>
  <c r="R712" i="3"/>
  <c r="Q712" i="3"/>
  <c r="S712" i="3" s="1"/>
  <c r="P712" i="3"/>
  <c r="D712" i="3"/>
  <c r="C712" i="3"/>
  <c r="R711" i="3"/>
  <c r="Q711" i="3"/>
  <c r="S711" i="3" s="1"/>
  <c r="P711" i="3"/>
  <c r="D711" i="3"/>
  <c r="C711" i="3"/>
  <c r="R710" i="3"/>
  <c r="Q710" i="3"/>
  <c r="S710" i="3" s="1"/>
  <c r="P710" i="3"/>
  <c r="D710" i="3"/>
  <c r="C710" i="3"/>
  <c r="R709" i="3"/>
  <c r="Q709" i="3"/>
  <c r="P709" i="3"/>
  <c r="D709" i="3"/>
  <c r="C709" i="3"/>
  <c r="W706" i="3"/>
  <c r="V706" i="3"/>
  <c r="U706" i="3"/>
  <c r="O706" i="3"/>
  <c r="N706" i="3"/>
  <c r="M706" i="3"/>
  <c r="L706" i="3"/>
  <c r="K706" i="3"/>
  <c r="J706" i="3"/>
  <c r="I706" i="3"/>
  <c r="H706" i="3"/>
  <c r="G706" i="3"/>
  <c r="F706" i="3"/>
  <c r="R705" i="3"/>
  <c r="Q705" i="3"/>
  <c r="S705" i="3" s="1"/>
  <c r="P705" i="3"/>
  <c r="D705" i="3"/>
  <c r="C705" i="3"/>
  <c r="R704" i="3"/>
  <c r="Q704" i="3"/>
  <c r="S704" i="3" s="1"/>
  <c r="P704" i="3"/>
  <c r="D704" i="3"/>
  <c r="C704" i="3"/>
  <c r="R703" i="3"/>
  <c r="Q703" i="3"/>
  <c r="S703" i="3" s="1"/>
  <c r="P703" i="3"/>
  <c r="D703" i="3"/>
  <c r="C703" i="3"/>
  <c r="R702" i="3"/>
  <c r="Q702" i="3"/>
  <c r="S702" i="3" s="1"/>
  <c r="P702" i="3"/>
  <c r="D702" i="3"/>
  <c r="C702" i="3"/>
  <c r="R701" i="3"/>
  <c r="Q701" i="3"/>
  <c r="S701" i="3" s="1"/>
  <c r="P701" i="3"/>
  <c r="D701" i="3"/>
  <c r="C701" i="3"/>
  <c r="S700" i="3"/>
  <c r="R700" i="3"/>
  <c r="Q700" i="3"/>
  <c r="P700" i="3"/>
  <c r="D700" i="3"/>
  <c r="C700" i="3"/>
  <c r="R699" i="3"/>
  <c r="Q699" i="3"/>
  <c r="S699" i="3" s="1"/>
  <c r="P699" i="3"/>
  <c r="D699" i="3"/>
  <c r="C699" i="3"/>
  <c r="R698" i="3"/>
  <c r="Q698" i="3"/>
  <c r="P698" i="3"/>
  <c r="D698" i="3"/>
  <c r="C698" i="3"/>
  <c r="W697" i="3"/>
  <c r="V697" i="3"/>
  <c r="U697" i="3"/>
  <c r="O697" i="3"/>
  <c r="N697" i="3"/>
  <c r="M697" i="3"/>
  <c r="L697" i="3"/>
  <c r="K697" i="3"/>
  <c r="J697" i="3"/>
  <c r="I697" i="3"/>
  <c r="H697" i="3"/>
  <c r="G697" i="3"/>
  <c r="F697" i="3"/>
  <c r="R696" i="3"/>
  <c r="Q696" i="3"/>
  <c r="S696" i="3" s="1"/>
  <c r="P696" i="3"/>
  <c r="D696" i="3"/>
  <c r="C696" i="3"/>
  <c r="R695" i="3"/>
  <c r="Q695" i="3"/>
  <c r="S695" i="3" s="1"/>
  <c r="P695" i="3"/>
  <c r="D695" i="3"/>
  <c r="C695" i="3"/>
  <c r="R694" i="3"/>
  <c r="Q694" i="3"/>
  <c r="S694" i="3" s="1"/>
  <c r="P694" i="3"/>
  <c r="D694" i="3"/>
  <c r="C694" i="3"/>
  <c r="R693" i="3"/>
  <c r="Q693" i="3"/>
  <c r="S693" i="3" s="1"/>
  <c r="P693" i="3"/>
  <c r="D693" i="3"/>
  <c r="C693" i="3"/>
  <c r="R692" i="3"/>
  <c r="Q692" i="3"/>
  <c r="S692" i="3" s="1"/>
  <c r="P692" i="3"/>
  <c r="D692" i="3"/>
  <c r="C692" i="3"/>
  <c r="R691" i="3"/>
  <c r="Q691" i="3"/>
  <c r="S691" i="3" s="1"/>
  <c r="P691" i="3"/>
  <c r="D691" i="3"/>
  <c r="C691" i="3"/>
  <c r="R690" i="3"/>
  <c r="Q690" i="3"/>
  <c r="P690" i="3"/>
  <c r="D690" i="3"/>
  <c r="C690" i="3"/>
  <c r="V689" i="3"/>
  <c r="U689" i="3"/>
  <c r="O689" i="3"/>
  <c r="N689" i="3"/>
  <c r="M689" i="3"/>
  <c r="L689" i="3"/>
  <c r="K689" i="3"/>
  <c r="J689" i="3"/>
  <c r="I689" i="3"/>
  <c r="H689" i="3"/>
  <c r="G689" i="3"/>
  <c r="F689" i="3"/>
  <c r="R688" i="3"/>
  <c r="Q688" i="3"/>
  <c r="S688" i="3" s="1"/>
  <c r="P688" i="3"/>
  <c r="D688" i="3"/>
  <c r="C688" i="3"/>
  <c r="R687" i="3"/>
  <c r="Q687" i="3"/>
  <c r="S687" i="3" s="1"/>
  <c r="P687" i="3"/>
  <c r="D687" i="3"/>
  <c r="C687" i="3"/>
  <c r="R686" i="3"/>
  <c r="Q686" i="3"/>
  <c r="S686" i="3" s="1"/>
  <c r="P686" i="3"/>
  <c r="D686" i="3"/>
  <c r="C686" i="3"/>
  <c r="R685" i="3"/>
  <c r="Q685" i="3"/>
  <c r="S685" i="3" s="1"/>
  <c r="P685" i="3"/>
  <c r="D685" i="3"/>
  <c r="C685" i="3"/>
  <c r="W684" i="3"/>
  <c r="W689" i="3" s="1"/>
  <c r="R684" i="3"/>
  <c r="Q684" i="3"/>
  <c r="S684" i="3" s="1"/>
  <c r="P684" i="3"/>
  <c r="D684" i="3"/>
  <c r="C684" i="3"/>
  <c r="W683" i="3"/>
  <c r="V683" i="3"/>
  <c r="U683" i="3"/>
  <c r="O683" i="3"/>
  <c r="N683" i="3"/>
  <c r="M683" i="3"/>
  <c r="L683" i="3"/>
  <c r="K683" i="3"/>
  <c r="J683" i="3"/>
  <c r="I683" i="3"/>
  <c r="H683" i="3"/>
  <c r="G683" i="3"/>
  <c r="F683" i="3"/>
  <c r="E683" i="3"/>
  <c r="R682" i="3"/>
  <c r="Q682" i="3"/>
  <c r="S682" i="3" s="1"/>
  <c r="P682" i="3"/>
  <c r="D682" i="3"/>
  <c r="C682" i="3"/>
  <c r="R681" i="3"/>
  <c r="Q681" i="3"/>
  <c r="S681" i="3" s="1"/>
  <c r="P681" i="3"/>
  <c r="D681" i="3"/>
  <c r="C681" i="3"/>
  <c r="R680" i="3"/>
  <c r="Q680" i="3"/>
  <c r="S680" i="3" s="1"/>
  <c r="P680" i="3"/>
  <c r="D680" i="3"/>
  <c r="C680" i="3"/>
  <c r="R679" i="3"/>
  <c r="Q679" i="3"/>
  <c r="S679" i="3" s="1"/>
  <c r="P679" i="3"/>
  <c r="D679" i="3"/>
  <c r="C679" i="3"/>
  <c r="Q678" i="3"/>
  <c r="S678" i="3" s="1"/>
  <c r="P678" i="3"/>
  <c r="D678" i="3"/>
  <c r="C678" i="3"/>
  <c r="W677" i="3"/>
  <c r="V677" i="3"/>
  <c r="U677" i="3"/>
  <c r="O677" i="3"/>
  <c r="N677" i="3"/>
  <c r="M677" i="3"/>
  <c r="L677" i="3"/>
  <c r="K677" i="3"/>
  <c r="J677" i="3"/>
  <c r="I677" i="3"/>
  <c r="H677" i="3"/>
  <c r="G677" i="3"/>
  <c r="F677" i="3"/>
  <c r="R676" i="3"/>
  <c r="Q676" i="3"/>
  <c r="S676" i="3" s="1"/>
  <c r="P676" i="3"/>
  <c r="D676" i="3"/>
  <c r="C676" i="3"/>
  <c r="R675" i="3"/>
  <c r="Q675" i="3"/>
  <c r="S675" i="3" s="1"/>
  <c r="P675" i="3"/>
  <c r="D675" i="3"/>
  <c r="C675" i="3"/>
  <c r="R674" i="3"/>
  <c r="Q674" i="3"/>
  <c r="S674" i="3" s="1"/>
  <c r="P674" i="3"/>
  <c r="D674" i="3"/>
  <c r="C674" i="3"/>
  <c r="R673" i="3"/>
  <c r="Q673" i="3"/>
  <c r="S673" i="3" s="1"/>
  <c r="P673" i="3"/>
  <c r="D673" i="3"/>
  <c r="C673" i="3"/>
  <c r="R672" i="3"/>
  <c r="Q672" i="3"/>
  <c r="S672" i="3" s="1"/>
  <c r="P672" i="3"/>
  <c r="D672" i="3"/>
  <c r="C672" i="3"/>
  <c r="R671" i="3"/>
  <c r="Q671" i="3"/>
  <c r="S671" i="3" s="1"/>
  <c r="P671" i="3"/>
  <c r="D671" i="3"/>
  <c r="C671" i="3"/>
  <c r="R670" i="3"/>
  <c r="Q670" i="3"/>
  <c r="S670" i="3" s="1"/>
  <c r="P670" i="3"/>
  <c r="D670" i="3"/>
  <c r="C670" i="3"/>
  <c r="R669" i="3"/>
  <c r="Q669" i="3"/>
  <c r="S669" i="3" s="1"/>
  <c r="P669" i="3"/>
  <c r="D669" i="3"/>
  <c r="C669" i="3"/>
  <c r="R668" i="3"/>
  <c r="Q668" i="3"/>
  <c r="S668" i="3" s="1"/>
  <c r="P668" i="3"/>
  <c r="D668" i="3"/>
  <c r="C668" i="3"/>
  <c r="R667" i="3"/>
  <c r="Q667" i="3"/>
  <c r="S667" i="3" s="1"/>
  <c r="P667" i="3"/>
  <c r="D667" i="3"/>
  <c r="C667" i="3"/>
  <c r="R666" i="3"/>
  <c r="Q666" i="3"/>
  <c r="S666" i="3" s="1"/>
  <c r="P666" i="3"/>
  <c r="D666" i="3"/>
  <c r="C666" i="3"/>
  <c r="Q665" i="3"/>
  <c r="S665" i="3" s="1"/>
  <c r="P665" i="3"/>
  <c r="D665" i="3"/>
  <c r="C665" i="3"/>
  <c r="W664" i="3"/>
  <c r="U664" i="3"/>
  <c r="O664" i="3"/>
  <c r="N664" i="3"/>
  <c r="M664" i="3"/>
  <c r="L664" i="3"/>
  <c r="K664" i="3"/>
  <c r="J664" i="3"/>
  <c r="I664" i="3"/>
  <c r="H664" i="3"/>
  <c r="G664" i="3"/>
  <c r="F664" i="3"/>
  <c r="R663" i="3"/>
  <c r="Q663" i="3"/>
  <c r="S663" i="3" s="1"/>
  <c r="P663" i="3"/>
  <c r="D663" i="3"/>
  <c r="C663" i="3"/>
  <c r="R662" i="3"/>
  <c r="Q662" i="3"/>
  <c r="S662" i="3" s="1"/>
  <c r="P662" i="3"/>
  <c r="D662" i="3"/>
  <c r="C662" i="3"/>
  <c r="R661" i="3"/>
  <c r="Q661" i="3"/>
  <c r="S661" i="3" s="1"/>
  <c r="P661" i="3"/>
  <c r="D661" i="3"/>
  <c r="C661" i="3"/>
  <c r="R660" i="3"/>
  <c r="Q660" i="3"/>
  <c r="S660" i="3" s="1"/>
  <c r="P660" i="3"/>
  <c r="D660" i="3"/>
  <c r="C660" i="3"/>
  <c r="R659" i="3"/>
  <c r="Q659" i="3"/>
  <c r="S659" i="3" s="1"/>
  <c r="P659" i="3"/>
  <c r="D659" i="3"/>
  <c r="C659" i="3"/>
  <c r="R658" i="3"/>
  <c r="Q658" i="3"/>
  <c r="S658" i="3" s="1"/>
  <c r="P658" i="3"/>
  <c r="D658" i="3"/>
  <c r="C658" i="3"/>
  <c r="R657" i="3"/>
  <c r="Q657" i="3"/>
  <c r="S657" i="3" s="1"/>
  <c r="P657" i="3"/>
  <c r="D657" i="3"/>
  <c r="C657" i="3"/>
  <c r="R656" i="3"/>
  <c r="Q656" i="3"/>
  <c r="S656" i="3" s="1"/>
  <c r="P656" i="3"/>
  <c r="D656" i="3"/>
  <c r="C656" i="3"/>
  <c r="R655" i="3"/>
  <c r="Q655" i="3"/>
  <c r="S655" i="3" s="1"/>
  <c r="P655" i="3"/>
  <c r="D655" i="3"/>
  <c r="C655" i="3"/>
  <c r="R654" i="3"/>
  <c r="Q654" i="3"/>
  <c r="P654" i="3"/>
  <c r="D654" i="3"/>
  <c r="C654" i="3"/>
  <c r="R653" i="3"/>
  <c r="Q653" i="3"/>
  <c r="S653" i="3" s="1"/>
  <c r="P653" i="3"/>
  <c r="D653" i="3"/>
  <c r="C653" i="3"/>
  <c r="W651" i="3"/>
  <c r="V651" i="3"/>
  <c r="U651" i="3"/>
  <c r="O651" i="3"/>
  <c r="N651" i="3"/>
  <c r="M651" i="3"/>
  <c r="L651" i="3"/>
  <c r="K651" i="3"/>
  <c r="J651" i="3"/>
  <c r="I651" i="3"/>
  <c r="H651" i="3"/>
  <c r="G651" i="3"/>
  <c r="F651" i="3"/>
  <c r="R650" i="3"/>
  <c r="Q650" i="3"/>
  <c r="S650" i="3" s="1"/>
  <c r="P650" i="3"/>
  <c r="D650" i="3"/>
  <c r="C650" i="3"/>
  <c r="R649" i="3"/>
  <c r="Q649" i="3"/>
  <c r="S649" i="3" s="1"/>
  <c r="P649" i="3"/>
  <c r="D649" i="3"/>
  <c r="C649" i="3"/>
  <c r="R648" i="3"/>
  <c r="Q648" i="3"/>
  <c r="S648" i="3" s="1"/>
  <c r="P648" i="3"/>
  <c r="D648" i="3"/>
  <c r="C648" i="3"/>
  <c r="R646" i="3"/>
  <c r="Q646" i="3"/>
  <c r="S646" i="3" s="1"/>
  <c r="P646" i="3"/>
  <c r="D646" i="3"/>
  <c r="C646" i="3"/>
  <c r="R645" i="3"/>
  <c r="Q645" i="3"/>
  <c r="S645" i="3" s="1"/>
  <c r="P645" i="3"/>
  <c r="D645" i="3"/>
  <c r="C645" i="3"/>
  <c r="R644" i="3"/>
  <c r="Q644" i="3"/>
  <c r="S644" i="3" s="1"/>
  <c r="P644" i="3"/>
  <c r="D644" i="3"/>
  <c r="C644" i="3"/>
  <c r="R643" i="3"/>
  <c r="Q643" i="3"/>
  <c r="S643" i="3" s="1"/>
  <c r="P643" i="3"/>
  <c r="D643" i="3"/>
  <c r="C643" i="3"/>
  <c r="R642" i="3"/>
  <c r="Q642" i="3"/>
  <c r="S642" i="3" s="1"/>
  <c r="P642" i="3"/>
  <c r="D642" i="3"/>
  <c r="C642" i="3"/>
  <c r="V639" i="3"/>
  <c r="U639" i="3"/>
  <c r="O639" i="3"/>
  <c r="N639" i="3"/>
  <c r="M639" i="3"/>
  <c r="L639" i="3"/>
  <c r="K639" i="3"/>
  <c r="J639" i="3"/>
  <c r="I639" i="3"/>
  <c r="H639" i="3"/>
  <c r="G639" i="3"/>
  <c r="F639" i="3"/>
  <c r="R638" i="3"/>
  <c r="Q638" i="3"/>
  <c r="S638" i="3" s="1"/>
  <c r="P638" i="3"/>
  <c r="D638" i="3"/>
  <c r="C638" i="3"/>
  <c r="R637" i="3"/>
  <c r="Q637" i="3"/>
  <c r="S637" i="3" s="1"/>
  <c r="P637" i="3"/>
  <c r="D637" i="3"/>
  <c r="C637" i="3"/>
  <c r="R636" i="3"/>
  <c r="Q636" i="3"/>
  <c r="S636" i="3" s="1"/>
  <c r="P636" i="3"/>
  <c r="D636" i="3"/>
  <c r="C636" i="3"/>
  <c r="R635" i="3"/>
  <c r="Q635" i="3"/>
  <c r="S635" i="3" s="1"/>
  <c r="P635" i="3"/>
  <c r="D635" i="3"/>
  <c r="C635" i="3"/>
  <c r="R634" i="3"/>
  <c r="Q634" i="3"/>
  <c r="S634" i="3" s="1"/>
  <c r="P634" i="3"/>
  <c r="D634" i="3"/>
  <c r="C634" i="3"/>
  <c r="R633" i="3"/>
  <c r="Q633" i="3"/>
  <c r="S633" i="3" s="1"/>
  <c r="P633" i="3"/>
  <c r="D633" i="3"/>
  <c r="C633" i="3"/>
  <c r="R632" i="3"/>
  <c r="Q632" i="3"/>
  <c r="S632" i="3" s="1"/>
  <c r="P632" i="3"/>
  <c r="D632" i="3"/>
  <c r="C632" i="3"/>
  <c r="R631" i="3"/>
  <c r="Q631" i="3"/>
  <c r="S631" i="3" s="1"/>
  <c r="P631" i="3"/>
  <c r="D631" i="3"/>
  <c r="C631" i="3"/>
  <c r="R630" i="3"/>
  <c r="Q630" i="3"/>
  <c r="S630" i="3" s="1"/>
  <c r="P630" i="3"/>
  <c r="D630" i="3"/>
  <c r="C630" i="3"/>
  <c r="R629" i="3"/>
  <c r="Q629" i="3"/>
  <c r="S629" i="3" s="1"/>
  <c r="P629" i="3"/>
  <c r="D629" i="3"/>
  <c r="C629" i="3"/>
  <c r="R628" i="3"/>
  <c r="Q628" i="3"/>
  <c r="S628" i="3" s="1"/>
  <c r="P628" i="3"/>
  <c r="D628" i="3"/>
  <c r="C628" i="3"/>
  <c r="R627" i="3"/>
  <c r="Q627" i="3"/>
  <c r="P627" i="3"/>
  <c r="D627" i="3"/>
  <c r="C627" i="3"/>
  <c r="R626" i="3"/>
  <c r="Q626" i="3"/>
  <c r="S626" i="3" s="1"/>
  <c r="P626" i="3"/>
  <c r="D626" i="3"/>
  <c r="C626" i="3"/>
  <c r="W625" i="3"/>
  <c r="W639" i="3" s="1"/>
  <c r="R625" i="3"/>
  <c r="Q625" i="3"/>
  <c r="S625" i="3" s="1"/>
  <c r="P625" i="3"/>
  <c r="D625" i="3"/>
  <c r="C625" i="3"/>
  <c r="V624" i="3"/>
  <c r="U624" i="3"/>
  <c r="O624" i="3"/>
  <c r="O640" i="3" s="1"/>
  <c r="N624" i="3"/>
  <c r="M624" i="3"/>
  <c r="M640" i="3" s="1"/>
  <c r="L624" i="3"/>
  <c r="K624" i="3"/>
  <c r="K640" i="3" s="1"/>
  <c r="J624" i="3"/>
  <c r="I624" i="3"/>
  <c r="H624" i="3"/>
  <c r="G624" i="3"/>
  <c r="G640" i="3" s="1"/>
  <c r="F624" i="3"/>
  <c r="R623" i="3"/>
  <c r="Q623" i="3"/>
  <c r="S623" i="3" s="1"/>
  <c r="P623" i="3"/>
  <c r="D623" i="3"/>
  <c r="C623" i="3"/>
  <c r="R622" i="3"/>
  <c r="Q622" i="3"/>
  <c r="S622" i="3" s="1"/>
  <c r="P622" i="3"/>
  <c r="D622" i="3"/>
  <c r="C622" i="3"/>
  <c r="R621" i="3"/>
  <c r="Q621" i="3"/>
  <c r="S621" i="3" s="1"/>
  <c r="P621" i="3"/>
  <c r="D621" i="3"/>
  <c r="C621" i="3"/>
  <c r="R620" i="3"/>
  <c r="Q620" i="3"/>
  <c r="P620" i="3"/>
  <c r="D620" i="3"/>
  <c r="C620" i="3"/>
  <c r="R619" i="3"/>
  <c r="Q619" i="3"/>
  <c r="S619" i="3" s="1"/>
  <c r="P619" i="3"/>
  <c r="D619" i="3"/>
  <c r="C619" i="3"/>
  <c r="R618" i="3"/>
  <c r="Q618" i="3"/>
  <c r="S618" i="3" s="1"/>
  <c r="P618" i="3"/>
  <c r="D618" i="3"/>
  <c r="C618" i="3"/>
  <c r="R617" i="3"/>
  <c r="Q617" i="3"/>
  <c r="S617" i="3" s="1"/>
  <c r="P617" i="3"/>
  <c r="D617" i="3"/>
  <c r="C617" i="3"/>
  <c r="R616" i="3"/>
  <c r="Q616" i="3"/>
  <c r="S616" i="3" s="1"/>
  <c r="P616" i="3"/>
  <c r="D616" i="3"/>
  <c r="C616" i="3"/>
  <c r="W615" i="3"/>
  <c r="R615" i="3"/>
  <c r="Q615" i="3"/>
  <c r="S615" i="3" s="1"/>
  <c r="P615" i="3"/>
  <c r="D615" i="3"/>
  <c r="C615" i="3"/>
  <c r="R614" i="3"/>
  <c r="Q614" i="3"/>
  <c r="S614" i="3" s="1"/>
  <c r="P614" i="3"/>
  <c r="D614" i="3"/>
  <c r="C614" i="3"/>
  <c r="R613" i="3"/>
  <c r="Q613" i="3"/>
  <c r="S613" i="3" s="1"/>
  <c r="P613" i="3"/>
  <c r="D613" i="3"/>
  <c r="C613" i="3"/>
  <c r="Q612" i="3"/>
  <c r="S612" i="3" s="1"/>
  <c r="P612" i="3"/>
  <c r="D612" i="3"/>
  <c r="C612" i="3"/>
  <c r="R611" i="3"/>
  <c r="Q611" i="3"/>
  <c r="S611" i="3" s="1"/>
  <c r="P611" i="3"/>
  <c r="D611" i="3"/>
  <c r="C611" i="3"/>
  <c r="R610" i="3"/>
  <c r="Q610" i="3"/>
  <c r="S610" i="3" s="1"/>
  <c r="P610" i="3"/>
  <c r="D610" i="3"/>
  <c r="C610" i="3"/>
  <c r="R609" i="3"/>
  <c r="Q609" i="3"/>
  <c r="S609" i="3" s="1"/>
  <c r="P609" i="3"/>
  <c r="D609" i="3"/>
  <c r="C609" i="3"/>
  <c r="R608" i="3"/>
  <c r="Q608" i="3"/>
  <c r="S608" i="3" s="1"/>
  <c r="P608" i="3"/>
  <c r="D608" i="3"/>
  <c r="C608" i="3"/>
  <c r="R607" i="3"/>
  <c r="Q607" i="3"/>
  <c r="S607" i="3" s="1"/>
  <c r="P607" i="3"/>
  <c r="D607" i="3"/>
  <c r="C607" i="3"/>
  <c r="R606" i="3"/>
  <c r="Q606" i="3"/>
  <c r="S606" i="3" s="1"/>
  <c r="P606" i="3"/>
  <c r="D606" i="3"/>
  <c r="C606" i="3"/>
  <c r="R605" i="3"/>
  <c r="Q605" i="3"/>
  <c r="S605" i="3" s="1"/>
  <c r="P605" i="3"/>
  <c r="D605" i="3"/>
  <c r="C605" i="3"/>
  <c r="R604" i="3"/>
  <c r="Q604" i="3"/>
  <c r="S604" i="3" s="1"/>
  <c r="P604" i="3"/>
  <c r="D604" i="3"/>
  <c r="C604" i="3"/>
  <c r="R603" i="3"/>
  <c r="Q603" i="3"/>
  <c r="S603" i="3" s="1"/>
  <c r="P603" i="3"/>
  <c r="D603" i="3"/>
  <c r="C603" i="3"/>
  <c r="R602" i="3"/>
  <c r="Q602" i="3"/>
  <c r="S602" i="3" s="1"/>
  <c r="P602" i="3"/>
  <c r="D602" i="3"/>
  <c r="C602" i="3"/>
  <c r="R601" i="3"/>
  <c r="Q601" i="3"/>
  <c r="S601" i="3" s="1"/>
  <c r="P601" i="3"/>
  <c r="D601" i="3"/>
  <c r="C601" i="3"/>
  <c r="W600" i="3"/>
  <c r="R600" i="3"/>
  <c r="Q600" i="3"/>
  <c r="S600" i="3" s="1"/>
  <c r="P600" i="3"/>
  <c r="W597" i="3"/>
  <c r="V597" i="3"/>
  <c r="U597" i="3"/>
  <c r="O597" i="3"/>
  <c r="N597" i="3"/>
  <c r="M597" i="3"/>
  <c r="L597" i="3"/>
  <c r="K597" i="3"/>
  <c r="J597" i="3"/>
  <c r="I597" i="3"/>
  <c r="H597" i="3"/>
  <c r="G597" i="3"/>
  <c r="F597" i="3"/>
  <c r="R596" i="3"/>
  <c r="Q596" i="3"/>
  <c r="S596" i="3" s="1"/>
  <c r="P596" i="3"/>
  <c r="D596" i="3"/>
  <c r="C596" i="3"/>
  <c r="R595" i="3"/>
  <c r="Q595" i="3"/>
  <c r="S595" i="3" s="1"/>
  <c r="P595" i="3"/>
  <c r="D595" i="3"/>
  <c r="C595" i="3"/>
  <c r="R594" i="3"/>
  <c r="Q594" i="3"/>
  <c r="S594" i="3" s="1"/>
  <c r="P594" i="3"/>
  <c r="D594" i="3"/>
  <c r="C594" i="3"/>
  <c r="R593" i="3"/>
  <c r="Q593" i="3"/>
  <c r="S593" i="3" s="1"/>
  <c r="P593" i="3"/>
  <c r="D593" i="3"/>
  <c r="C593" i="3"/>
  <c r="R592" i="3"/>
  <c r="Q592" i="3"/>
  <c r="S592" i="3" s="1"/>
  <c r="P592" i="3"/>
  <c r="D592" i="3"/>
  <c r="C592" i="3"/>
  <c r="R591" i="3"/>
  <c r="Q591" i="3"/>
  <c r="S591" i="3" s="1"/>
  <c r="P591" i="3"/>
  <c r="D591" i="3"/>
  <c r="C591" i="3"/>
  <c r="R590" i="3"/>
  <c r="Q590" i="3"/>
  <c r="S590" i="3" s="1"/>
  <c r="P590" i="3"/>
  <c r="D590" i="3"/>
  <c r="C590" i="3"/>
  <c r="R589" i="3"/>
  <c r="Q589" i="3"/>
  <c r="S589" i="3" s="1"/>
  <c r="P589" i="3"/>
  <c r="D589" i="3"/>
  <c r="C589" i="3"/>
  <c r="R588" i="3"/>
  <c r="Q588" i="3"/>
  <c r="S588" i="3" s="1"/>
  <c r="P588" i="3"/>
  <c r="D588" i="3"/>
  <c r="C588" i="3"/>
  <c r="R587" i="3"/>
  <c r="Q587" i="3"/>
  <c r="S587" i="3" s="1"/>
  <c r="P587" i="3"/>
  <c r="D587" i="3"/>
  <c r="C587" i="3"/>
  <c r="R586" i="3"/>
  <c r="Q586" i="3"/>
  <c r="S586" i="3" s="1"/>
  <c r="P586" i="3"/>
  <c r="D586" i="3"/>
  <c r="C586" i="3"/>
  <c r="R585" i="3"/>
  <c r="Q585" i="3"/>
  <c r="S585" i="3" s="1"/>
  <c r="P585" i="3"/>
  <c r="D585" i="3"/>
  <c r="C585" i="3"/>
  <c r="R584" i="3"/>
  <c r="Q584" i="3"/>
  <c r="S584" i="3" s="1"/>
  <c r="P584" i="3"/>
  <c r="D584" i="3"/>
  <c r="C584" i="3"/>
  <c r="S583" i="3"/>
  <c r="R583" i="3"/>
  <c r="Q583" i="3"/>
  <c r="P583" i="3"/>
  <c r="D583" i="3"/>
  <c r="C583" i="3"/>
  <c r="W582" i="3"/>
  <c r="V582" i="3"/>
  <c r="U582" i="3"/>
  <c r="O582" i="3"/>
  <c r="N582" i="3"/>
  <c r="M582" i="3"/>
  <c r="L582" i="3"/>
  <c r="K582" i="3"/>
  <c r="J582" i="3"/>
  <c r="I582" i="3"/>
  <c r="H582" i="3"/>
  <c r="G582" i="3"/>
  <c r="F582" i="3"/>
  <c r="R581" i="3"/>
  <c r="Q581" i="3"/>
  <c r="S581" i="3" s="1"/>
  <c r="P581" i="3"/>
  <c r="D581" i="3"/>
  <c r="C581" i="3"/>
  <c r="R580" i="3"/>
  <c r="Q580" i="3"/>
  <c r="S580" i="3" s="1"/>
  <c r="P580" i="3"/>
  <c r="D580" i="3"/>
  <c r="C580" i="3"/>
  <c r="R579" i="3"/>
  <c r="Q579" i="3"/>
  <c r="S579" i="3" s="1"/>
  <c r="P579" i="3"/>
  <c r="D579" i="3"/>
  <c r="C579" i="3"/>
  <c r="R578" i="3"/>
  <c r="Q578" i="3"/>
  <c r="P578" i="3"/>
  <c r="D578" i="3"/>
  <c r="C578" i="3"/>
  <c r="R577" i="3"/>
  <c r="Q577" i="3"/>
  <c r="S577" i="3" s="1"/>
  <c r="P577" i="3"/>
  <c r="D577" i="3"/>
  <c r="C577" i="3"/>
  <c r="V576" i="3"/>
  <c r="U576" i="3"/>
  <c r="Q575" i="3"/>
  <c r="S575" i="3" s="1"/>
  <c r="P575" i="3"/>
  <c r="D575" i="3"/>
  <c r="C575" i="3"/>
  <c r="R574" i="3"/>
  <c r="Q574" i="3"/>
  <c r="S574" i="3" s="1"/>
  <c r="P574" i="3"/>
  <c r="D574" i="3"/>
  <c r="C574" i="3"/>
  <c r="R573" i="3"/>
  <c r="Q573" i="3"/>
  <c r="S573" i="3" s="1"/>
  <c r="P573" i="3"/>
  <c r="D573" i="3"/>
  <c r="C573" i="3"/>
  <c r="W572" i="3"/>
  <c r="W576" i="3" s="1"/>
  <c r="R572" i="3"/>
  <c r="Q572" i="3"/>
  <c r="P572" i="3"/>
  <c r="D572" i="3"/>
  <c r="C572" i="3"/>
  <c r="V571" i="3"/>
  <c r="U571" i="3"/>
  <c r="O571" i="3"/>
  <c r="N571" i="3"/>
  <c r="M571" i="3"/>
  <c r="L571" i="3"/>
  <c r="K571" i="3"/>
  <c r="J571" i="3"/>
  <c r="I571" i="3"/>
  <c r="H571" i="3"/>
  <c r="G571" i="3"/>
  <c r="F571" i="3"/>
  <c r="W570" i="3"/>
  <c r="R570" i="3"/>
  <c r="Q570" i="3"/>
  <c r="S570" i="3" s="1"/>
  <c r="P570" i="3"/>
  <c r="D570" i="3"/>
  <c r="C570" i="3"/>
  <c r="R569" i="3"/>
  <c r="Q569" i="3"/>
  <c r="S569" i="3" s="1"/>
  <c r="P569" i="3"/>
  <c r="D569" i="3"/>
  <c r="C569" i="3"/>
  <c r="R568" i="3"/>
  <c r="Q568" i="3"/>
  <c r="S568" i="3" s="1"/>
  <c r="P568" i="3"/>
  <c r="D568" i="3"/>
  <c r="C568" i="3"/>
  <c r="R567" i="3"/>
  <c r="Q567" i="3"/>
  <c r="S567" i="3" s="1"/>
  <c r="P567" i="3"/>
  <c r="D567" i="3"/>
  <c r="C567" i="3"/>
  <c r="W566" i="3"/>
  <c r="R566" i="3"/>
  <c r="Q566" i="3"/>
  <c r="S566" i="3" s="1"/>
  <c r="P566" i="3"/>
  <c r="D566" i="3"/>
  <c r="C566" i="3"/>
  <c r="R565" i="3"/>
  <c r="Q565" i="3"/>
  <c r="S565" i="3" s="1"/>
  <c r="P565" i="3"/>
  <c r="D565" i="3"/>
  <c r="C565" i="3"/>
  <c r="R564" i="3"/>
  <c r="Q564" i="3"/>
  <c r="S564" i="3" s="1"/>
  <c r="P564" i="3"/>
  <c r="D564" i="3"/>
  <c r="C564" i="3"/>
  <c r="R563" i="3"/>
  <c r="Q563" i="3"/>
  <c r="S563" i="3" s="1"/>
  <c r="P563" i="3"/>
  <c r="D563" i="3"/>
  <c r="C563" i="3"/>
  <c r="R562" i="3"/>
  <c r="Q562" i="3"/>
  <c r="S562" i="3" s="1"/>
  <c r="P562" i="3"/>
  <c r="D562" i="3"/>
  <c r="C562" i="3"/>
  <c r="R561" i="3"/>
  <c r="Q561" i="3"/>
  <c r="S561" i="3" s="1"/>
  <c r="P561" i="3"/>
  <c r="D561" i="3"/>
  <c r="C561" i="3"/>
  <c r="R560" i="3"/>
  <c r="Q560" i="3"/>
  <c r="S560" i="3" s="1"/>
  <c r="P560" i="3"/>
  <c r="D560" i="3"/>
  <c r="C560" i="3"/>
  <c r="R559" i="3"/>
  <c r="Q559" i="3"/>
  <c r="S559" i="3" s="1"/>
  <c r="P559" i="3"/>
  <c r="D559" i="3"/>
  <c r="C559" i="3"/>
  <c r="R558" i="3"/>
  <c r="Q558" i="3"/>
  <c r="S558" i="3" s="1"/>
  <c r="P558" i="3"/>
  <c r="D558" i="3"/>
  <c r="C558" i="3"/>
  <c r="R557" i="3"/>
  <c r="Q557" i="3"/>
  <c r="S557" i="3" s="1"/>
  <c r="P557" i="3"/>
  <c r="D557" i="3"/>
  <c r="C557" i="3"/>
  <c r="R556" i="3"/>
  <c r="Q556" i="3"/>
  <c r="S556" i="3" s="1"/>
  <c r="P556" i="3"/>
  <c r="D556" i="3"/>
  <c r="C556" i="3"/>
  <c r="R555" i="3"/>
  <c r="Q555" i="3"/>
  <c r="S555" i="3" s="1"/>
  <c r="P555" i="3"/>
  <c r="D555" i="3"/>
  <c r="C555" i="3"/>
  <c r="R554" i="3"/>
  <c r="Q554" i="3"/>
  <c r="S554" i="3" s="1"/>
  <c r="P554" i="3"/>
  <c r="D554" i="3"/>
  <c r="C554" i="3"/>
  <c r="R553" i="3"/>
  <c r="Q553" i="3"/>
  <c r="S553" i="3" s="1"/>
  <c r="P553" i="3"/>
  <c r="D553" i="3"/>
  <c r="C553" i="3"/>
  <c r="R552" i="3"/>
  <c r="Q552" i="3"/>
  <c r="S552" i="3" s="1"/>
  <c r="P552" i="3"/>
  <c r="D552" i="3"/>
  <c r="C552" i="3"/>
  <c r="R551" i="3"/>
  <c r="Q551" i="3"/>
  <c r="S551" i="3" s="1"/>
  <c r="P551" i="3"/>
  <c r="D551" i="3"/>
  <c r="C551" i="3"/>
  <c r="R550" i="3"/>
  <c r="Q550" i="3"/>
  <c r="S550" i="3" s="1"/>
  <c r="P550" i="3"/>
  <c r="D550" i="3"/>
  <c r="C550" i="3"/>
  <c r="R549" i="3"/>
  <c r="Q549" i="3"/>
  <c r="S549" i="3" s="1"/>
  <c r="P549" i="3"/>
  <c r="D549" i="3"/>
  <c r="C549" i="3"/>
  <c r="R548" i="3"/>
  <c r="Q548" i="3"/>
  <c r="S548" i="3" s="1"/>
  <c r="P548" i="3"/>
  <c r="D548" i="3"/>
  <c r="C548" i="3"/>
  <c r="R547" i="3"/>
  <c r="Q547" i="3"/>
  <c r="S547" i="3" s="1"/>
  <c r="P547" i="3"/>
  <c r="D547" i="3"/>
  <c r="C547" i="3"/>
  <c r="R546" i="3"/>
  <c r="Q546" i="3"/>
  <c r="S546" i="3" s="1"/>
  <c r="P546" i="3"/>
  <c r="D546" i="3"/>
  <c r="C546" i="3"/>
  <c r="R545" i="3"/>
  <c r="Q545" i="3"/>
  <c r="S545" i="3" s="1"/>
  <c r="P545" i="3"/>
  <c r="D545" i="3"/>
  <c r="C545" i="3"/>
  <c r="R544" i="3"/>
  <c r="Q544" i="3"/>
  <c r="S544" i="3" s="1"/>
  <c r="P544" i="3"/>
  <c r="D544" i="3"/>
  <c r="C544" i="3"/>
  <c r="R543" i="3"/>
  <c r="Q543" i="3"/>
  <c r="S543" i="3" s="1"/>
  <c r="P543" i="3"/>
  <c r="D543" i="3"/>
  <c r="C543" i="3"/>
  <c r="R542" i="3"/>
  <c r="Q542" i="3"/>
  <c r="S542" i="3" s="1"/>
  <c r="P542" i="3"/>
  <c r="D542" i="3"/>
  <c r="C542" i="3"/>
  <c r="R541" i="3"/>
  <c r="Q541" i="3"/>
  <c r="S541" i="3" s="1"/>
  <c r="P541" i="3"/>
  <c r="D541" i="3"/>
  <c r="C541" i="3"/>
  <c r="R540" i="3"/>
  <c r="Q540" i="3"/>
  <c r="S540" i="3" s="1"/>
  <c r="P540" i="3"/>
  <c r="D540" i="3"/>
  <c r="C540" i="3"/>
  <c r="R539" i="3"/>
  <c r="Q539" i="3"/>
  <c r="P539" i="3"/>
  <c r="D539" i="3"/>
  <c r="C539" i="3"/>
  <c r="R538" i="3"/>
  <c r="Q538" i="3"/>
  <c r="S538" i="3" s="1"/>
  <c r="P538" i="3"/>
  <c r="D538" i="3"/>
  <c r="C538" i="3"/>
  <c r="R537" i="3"/>
  <c r="Q537" i="3"/>
  <c r="S537" i="3" s="1"/>
  <c r="P537" i="3"/>
  <c r="D537" i="3"/>
  <c r="C537" i="3"/>
  <c r="R536" i="3"/>
  <c r="Q536" i="3"/>
  <c r="S536" i="3" s="1"/>
  <c r="P536" i="3"/>
  <c r="D536" i="3"/>
  <c r="C536" i="3"/>
  <c r="R535" i="3"/>
  <c r="Q535" i="3"/>
  <c r="S535" i="3" s="1"/>
  <c r="P535" i="3"/>
  <c r="D535" i="3"/>
  <c r="C535" i="3"/>
  <c r="W534" i="3"/>
  <c r="W571" i="3" s="1"/>
  <c r="R534" i="3"/>
  <c r="Q534" i="3"/>
  <c r="S534" i="3" s="1"/>
  <c r="P534" i="3"/>
  <c r="D534" i="3"/>
  <c r="C534" i="3"/>
  <c r="W533" i="3"/>
  <c r="V533" i="3"/>
  <c r="U533" i="3"/>
  <c r="R532" i="3"/>
  <c r="R533" i="3" s="1"/>
  <c r="Q532" i="3"/>
  <c r="Q533" i="3" s="1"/>
  <c r="P532" i="3"/>
  <c r="P533" i="3" s="1"/>
  <c r="D532" i="3"/>
  <c r="C532" i="3"/>
  <c r="W531" i="3"/>
  <c r="V531" i="3"/>
  <c r="U531" i="3"/>
  <c r="R531" i="3"/>
  <c r="Q530" i="3"/>
  <c r="S530" i="3" s="1"/>
  <c r="P530" i="3"/>
  <c r="D530" i="3"/>
  <c r="C530" i="3"/>
  <c r="Q529" i="3"/>
  <c r="S529" i="3" s="1"/>
  <c r="P529" i="3"/>
  <c r="D529" i="3"/>
  <c r="C529" i="3"/>
  <c r="Q528" i="3"/>
  <c r="P528" i="3"/>
  <c r="D528" i="3"/>
  <c r="C528" i="3"/>
  <c r="W527" i="3"/>
  <c r="V527" i="3"/>
  <c r="U527" i="3"/>
  <c r="R526" i="3"/>
  <c r="Q526" i="3"/>
  <c r="S526" i="3" s="1"/>
  <c r="P526" i="3"/>
  <c r="D526" i="3"/>
  <c r="C526" i="3"/>
  <c r="R525" i="3"/>
  <c r="Q525" i="3"/>
  <c r="S525" i="3" s="1"/>
  <c r="P525" i="3"/>
  <c r="D525" i="3"/>
  <c r="C525" i="3"/>
  <c r="Q524" i="3"/>
  <c r="S524" i="3" s="1"/>
  <c r="P524" i="3"/>
  <c r="D524" i="3"/>
  <c r="C524" i="3"/>
  <c r="R523" i="3"/>
  <c r="Q523" i="3"/>
  <c r="S523" i="3" s="1"/>
  <c r="P523" i="3"/>
  <c r="D523" i="3"/>
  <c r="C523" i="3"/>
  <c r="W522" i="3"/>
  <c r="V522" i="3"/>
  <c r="U522" i="3"/>
  <c r="O522" i="3"/>
  <c r="N522" i="3"/>
  <c r="M522" i="3"/>
  <c r="L522" i="3"/>
  <c r="K522" i="3"/>
  <c r="J522" i="3"/>
  <c r="I522" i="3"/>
  <c r="H522" i="3"/>
  <c r="G522" i="3"/>
  <c r="F522" i="3"/>
  <c r="D521" i="3"/>
  <c r="C521" i="3"/>
  <c r="D520" i="3"/>
  <c r="C520" i="3"/>
  <c r="D519" i="3"/>
  <c r="C519" i="3"/>
  <c r="R518" i="3"/>
  <c r="Q518" i="3"/>
  <c r="S518" i="3" s="1"/>
  <c r="P518" i="3"/>
  <c r="D518" i="3"/>
  <c r="C518" i="3"/>
  <c r="R517" i="3"/>
  <c r="Q517" i="3"/>
  <c r="S517" i="3" s="1"/>
  <c r="P517" i="3"/>
  <c r="D517" i="3"/>
  <c r="C517" i="3"/>
  <c r="R516" i="3"/>
  <c r="Q516" i="3"/>
  <c r="S516" i="3" s="1"/>
  <c r="P516" i="3"/>
  <c r="D516" i="3"/>
  <c r="C516" i="3"/>
  <c r="R515" i="3"/>
  <c r="Q515" i="3"/>
  <c r="S515" i="3" s="1"/>
  <c r="P515" i="3"/>
  <c r="D515" i="3"/>
  <c r="C515" i="3"/>
  <c r="R514" i="3"/>
  <c r="Q514" i="3"/>
  <c r="S514" i="3" s="1"/>
  <c r="P514" i="3"/>
  <c r="D514" i="3"/>
  <c r="C514" i="3"/>
  <c r="R513" i="3"/>
  <c r="Q513" i="3"/>
  <c r="S513" i="3" s="1"/>
  <c r="P513" i="3"/>
  <c r="D513" i="3"/>
  <c r="C513" i="3"/>
  <c r="R512" i="3"/>
  <c r="Q512" i="3"/>
  <c r="S512" i="3" s="1"/>
  <c r="P512" i="3"/>
  <c r="D512" i="3"/>
  <c r="C512" i="3"/>
  <c r="R511" i="3"/>
  <c r="Q511" i="3"/>
  <c r="S511" i="3" s="1"/>
  <c r="P511" i="3"/>
  <c r="D511" i="3"/>
  <c r="C511" i="3"/>
  <c r="R510" i="3"/>
  <c r="Q510" i="3"/>
  <c r="S510" i="3" s="1"/>
  <c r="P510" i="3"/>
  <c r="D510" i="3"/>
  <c r="C510" i="3"/>
  <c r="R509" i="3"/>
  <c r="Q509" i="3"/>
  <c r="S509" i="3" s="1"/>
  <c r="P509" i="3"/>
  <c r="D509" i="3"/>
  <c r="C509" i="3"/>
  <c r="R508" i="3"/>
  <c r="Q508" i="3"/>
  <c r="S508" i="3" s="1"/>
  <c r="P508" i="3"/>
  <c r="D508" i="3"/>
  <c r="C508" i="3"/>
  <c r="R507" i="3"/>
  <c r="Q507" i="3"/>
  <c r="S507" i="3" s="1"/>
  <c r="P507" i="3"/>
  <c r="D507" i="3"/>
  <c r="C507" i="3"/>
  <c r="Q506" i="3"/>
  <c r="S506" i="3" s="1"/>
  <c r="P506" i="3"/>
  <c r="D506" i="3"/>
  <c r="C506" i="3"/>
  <c r="R505" i="3"/>
  <c r="Q505" i="3"/>
  <c r="S505" i="3" s="1"/>
  <c r="P505" i="3"/>
  <c r="D505" i="3"/>
  <c r="C505" i="3"/>
  <c r="R504" i="3"/>
  <c r="Q504" i="3"/>
  <c r="P504" i="3"/>
  <c r="D504" i="3"/>
  <c r="C504" i="3"/>
  <c r="R503" i="3"/>
  <c r="Q503" i="3"/>
  <c r="S503" i="3" s="1"/>
  <c r="P503" i="3"/>
  <c r="D503" i="3"/>
  <c r="C503" i="3"/>
  <c r="R502" i="3"/>
  <c r="Q502" i="3"/>
  <c r="S502" i="3" s="1"/>
  <c r="P502" i="3"/>
  <c r="D502" i="3"/>
  <c r="C502" i="3"/>
  <c r="Q501" i="3"/>
  <c r="S501" i="3" s="1"/>
  <c r="P501" i="3"/>
  <c r="D501" i="3"/>
  <c r="C501" i="3"/>
  <c r="V500" i="3"/>
  <c r="U500" i="3"/>
  <c r="O500" i="3"/>
  <c r="N500" i="3"/>
  <c r="M500" i="3"/>
  <c r="L500" i="3"/>
  <c r="K500" i="3"/>
  <c r="J500" i="3"/>
  <c r="I500" i="3"/>
  <c r="H500" i="3"/>
  <c r="G500" i="3"/>
  <c r="F500" i="3"/>
  <c r="D498" i="3"/>
  <c r="C498" i="3"/>
  <c r="D497" i="3"/>
  <c r="C497" i="3"/>
  <c r="Q496" i="3"/>
  <c r="S496" i="3" s="1"/>
  <c r="P496" i="3"/>
  <c r="D496" i="3"/>
  <c r="C496" i="3"/>
  <c r="R495" i="3"/>
  <c r="Q495" i="3"/>
  <c r="S495" i="3" s="1"/>
  <c r="P495" i="3"/>
  <c r="D495" i="3"/>
  <c r="C495" i="3"/>
  <c r="R494" i="3"/>
  <c r="Q494" i="3"/>
  <c r="S494" i="3" s="1"/>
  <c r="P494" i="3"/>
  <c r="D494" i="3"/>
  <c r="C494" i="3"/>
  <c r="R493" i="3"/>
  <c r="Q493" i="3"/>
  <c r="S493" i="3" s="1"/>
  <c r="P493" i="3"/>
  <c r="D493" i="3"/>
  <c r="C493" i="3"/>
  <c r="R492" i="3"/>
  <c r="Q492" i="3"/>
  <c r="S492" i="3" s="1"/>
  <c r="P492" i="3"/>
  <c r="D492" i="3"/>
  <c r="C492" i="3"/>
  <c r="R491" i="3"/>
  <c r="Q491" i="3"/>
  <c r="S491" i="3" s="1"/>
  <c r="P491" i="3"/>
  <c r="D491" i="3"/>
  <c r="C491" i="3"/>
  <c r="R490" i="3"/>
  <c r="Q490" i="3"/>
  <c r="S490" i="3" s="1"/>
  <c r="P490" i="3"/>
  <c r="D490" i="3"/>
  <c r="C490" i="3"/>
  <c r="R489" i="3"/>
  <c r="Q489" i="3"/>
  <c r="S489" i="3" s="1"/>
  <c r="P489" i="3"/>
  <c r="D489" i="3"/>
  <c r="C489" i="3"/>
  <c r="R488" i="3"/>
  <c r="Q488" i="3"/>
  <c r="S488" i="3" s="1"/>
  <c r="P488" i="3"/>
  <c r="D488" i="3"/>
  <c r="C488" i="3"/>
  <c r="W487" i="3"/>
  <c r="W500" i="3" s="1"/>
  <c r="R487" i="3"/>
  <c r="Q487" i="3"/>
  <c r="S487" i="3" s="1"/>
  <c r="P487" i="3"/>
  <c r="D487" i="3"/>
  <c r="C487" i="3"/>
  <c r="R486" i="3"/>
  <c r="Q486" i="3"/>
  <c r="P486" i="3"/>
  <c r="D486" i="3"/>
  <c r="C486" i="3"/>
  <c r="W485" i="3"/>
  <c r="V485" i="3"/>
  <c r="U485" i="3"/>
  <c r="O485" i="3"/>
  <c r="N485" i="3"/>
  <c r="M485" i="3"/>
  <c r="L485" i="3"/>
  <c r="K485" i="3"/>
  <c r="J485" i="3"/>
  <c r="I485" i="3"/>
  <c r="H485" i="3"/>
  <c r="G485" i="3"/>
  <c r="F485" i="3"/>
  <c r="Q484" i="3"/>
  <c r="S484" i="3" s="1"/>
  <c r="P484" i="3"/>
  <c r="D484" i="3"/>
  <c r="C484" i="3"/>
  <c r="R483" i="3"/>
  <c r="Q483" i="3"/>
  <c r="S483" i="3" s="1"/>
  <c r="P483" i="3"/>
  <c r="D483" i="3"/>
  <c r="C483" i="3"/>
  <c r="R482" i="3"/>
  <c r="Q482" i="3"/>
  <c r="S482" i="3" s="1"/>
  <c r="P482" i="3"/>
  <c r="D482" i="3"/>
  <c r="C482" i="3"/>
  <c r="R481" i="3"/>
  <c r="Q481" i="3"/>
  <c r="S481" i="3" s="1"/>
  <c r="P481" i="3"/>
  <c r="D481" i="3"/>
  <c r="C481" i="3"/>
  <c r="R480" i="3"/>
  <c r="Q480" i="3"/>
  <c r="S480" i="3" s="1"/>
  <c r="P480" i="3"/>
  <c r="D480" i="3"/>
  <c r="C480" i="3"/>
  <c r="R479" i="3"/>
  <c r="Q479" i="3"/>
  <c r="S479" i="3" s="1"/>
  <c r="P479" i="3"/>
  <c r="D479" i="3"/>
  <c r="C479" i="3"/>
  <c r="Q478" i="3"/>
  <c r="S478" i="3" s="1"/>
  <c r="P478" i="3"/>
  <c r="D478" i="3"/>
  <c r="C478" i="3"/>
  <c r="W475" i="3"/>
  <c r="V475" i="3"/>
  <c r="U475" i="3"/>
  <c r="O475" i="3"/>
  <c r="N475" i="3"/>
  <c r="M475" i="3"/>
  <c r="L475" i="3"/>
  <c r="K475" i="3"/>
  <c r="J475" i="3"/>
  <c r="I475" i="3"/>
  <c r="H475" i="3"/>
  <c r="G475" i="3"/>
  <c r="F475" i="3"/>
  <c r="R474" i="3"/>
  <c r="Q474" i="3"/>
  <c r="S474" i="3" s="1"/>
  <c r="P474" i="3"/>
  <c r="D474" i="3"/>
  <c r="C474" i="3"/>
  <c r="R473" i="3"/>
  <c r="Q473" i="3"/>
  <c r="S473" i="3" s="1"/>
  <c r="P473" i="3"/>
  <c r="D473" i="3"/>
  <c r="C473" i="3"/>
  <c r="R472" i="3"/>
  <c r="Q472" i="3"/>
  <c r="S472" i="3" s="1"/>
  <c r="P472" i="3"/>
  <c r="D472" i="3"/>
  <c r="C472" i="3"/>
  <c r="R471" i="3"/>
  <c r="Q471" i="3"/>
  <c r="S471" i="3" s="1"/>
  <c r="P471" i="3"/>
  <c r="D471" i="3"/>
  <c r="C471" i="3"/>
  <c r="R470" i="3"/>
  <c r="Q470" i="3"/>
  <c r="S470" i="3" s="1"/>
  <c r="P470" i="3"/>
  <c r="D470" i="3"/>
  <c r="C470" i="3"/>
  <c r="R469" i="3"/>
  <c r="Q469" i="3"/>
  <c r="S469" i="3" s="1"/>
  <c r="P469" i="3"/>
  <c r="D469" i="3"/>
  <c r="C469" i="3"/>
  <c r="W468" i="3"/>
  <c r="V468" i="3"/>
  <c r="U468" i="3"/>
  <c r="O468" i="3"/>
  <c r="N468" i="3"/>
  <c r="M468" i="3"/>
  <c r="L468" i="3"/>
  <c r="K468" i="3"/>
  <c r="J468" i="3"/>
  <c r="I468" i="3"/>
  <c r="H468" i="3"/>
  <c r="G468" i="3"/>
  <c r="F468" i="3"/>
  <c r="R467" i="3"/>
  <c r="Q467" i="3"/>
  <c r="S467" i="3" s="1"/>
  <c r="P467" i="3"/>
  <c r="D467" i="3"/>
  <c r="C467" i="3"/>
  <c r="R466" i="3"/>
  <c r="Q466" i="3"/>
  <c r="S466" i="3" s="1"/>
  <c r="P466" i="3"/>
  <c r="D466" i="3"/>
  <c r="C466" i="3"/>
  <c r="R465" i="3"/>
  <c r="Q465" i="3"/>
  <c r="S465" i="3" s="1"/>
  <c r="P465" i="3"/>
  <c r="D465" i="3"/>
  <c r="C465" i="3"/>
  <c r="R464" i="3"/>
  <c r="Q464" i="3"/>
  <c r="S464" i="3" s="1"/>
  <c r="P464" i="3"/>
  <c r="D464" i="3"/>
  <c r="C464" i="3"/>
  <c r="R463" i="3"/>
  <c r="Q463" i="3"/>
  <c r="S463" i="3" s="1"/>
  <c r="P463" i="3"/>
  <c r="D463" i="3"/>
  <c r="C463" i="3"/>
  <c r="R462" i="3"/>
  <c r="Q462" i="3"/>
  <c r="S462" i="3" s="1"/>
  <c r="P462" i="3"/>
  <c r="D462" i="3"/>
  <c r="C462" i="3"/>
  <c r="R461" i="3"/>
  <c r="Q461" i="3"/>
  <c r="S461" i="3" s="1"/>
  <c r="P461" i="3"/>
  <c r="D461" i="3"/>
  <c r="C461" i="3"/>
  <c r="R460" i="3"/>
  <c r="Q460" i="3"/>
  <c r="S460" i="3" s="1"/>
  <c r="P460" i="3"/>
  <c r="D460" i="3"/>
  <c r="C460" i="3"/>
  <c r="R459" i="3"/>
  <c r="Q459" i="3"/>
  <c r="S459" i="3" s="1"/>
  <c r="P459" i="3"/>
  <c r="D459" i="3"/>
  <c r="C459" i="3"/>
  <c r="R458" i="3"/>
  <c r="Q458" i="3"/>
  <c r="S458" i="3" s="1"/>
  <c r="P458" i="3"/>
  <c r="D458" i="3"/>
  <c r="C458" i="3"/>
  <c r="R457" i="3"/>
  <c r="Q457" i="3"/>
  <c r="S457" i="3" s="1"/>
  <c r="P457" i="3"/>
  <c r="D457" i="3"/>
  <c r="C457" i="3"/>
  <c r="R456" i="3"/>
  <c r="Q456" i="3"/>
  <c r="S456" i="3" s="1"/>
  <c r="P456" i="3"/>
  <c r="D456" i="3"/>
  <c r="C456" i="3"/>
  <c r="R455" i="3"/>
  <c r="Q455" i="3"/>
  <c r="S455" i="3" s="1"/>
  <c r="P455" i="3"/>
  <c r="D455" i="3"/>
  <c r="C455" i="3"/>
  <c r="R454" i="3"/>
  <c r="Q454" i="3"/>
  <c r="P454" i="3"/>
  <c r="D454" i="3"/>
  <c r="C454" i="3"/>
  <c r="W453" i="3"/>
  <c r="V453" i="3"/>
  <c r="U453" i="3"/>
  <c r="O453" i="3"/>
  <c r="N453" i="3"/>
  <c r="M453" i="3"/>
  <c r="L453" i="3"/>
  <c r="K453" i="3"/>
  <c r="J453" i="3"/>
  <c r="I453" i="3"/>
  <c r="H453" i="3"/>
  <c r="G453" i="3"/>
  <c r="F453" i="3"/>
  <c r="R452" i="3"/>
  <c r="Q452" i="3"/>
  <c r="S452" i="3" s="1"/>
  <c r="P452" i="3"/>
  <c r="D452" i="3"/>
  <c r="C452" i="3"/>
  <c r="R451" i="3"/>
  <c r="Q451" i="3"/>
  <c r="S451" i="3" s="1"/>
  <c r="P451" i="3"/>
  <c r="D451" i="3"/>
  <c r="C451" i="3"/>
  <c r="R450" i="3"/>
  <c r="Q450" i="3"/>
  <c r="S450" i="3" s="1"/>
  <c r="P450" i="3"/>
  <c r="D450" i="3"/>
  <c r="C450" i="3"/>
  <c r="R449" i="3"/>
  <c r="Q449" i="3"/>
  <c r="S449" i="3" s="1"/>
  <c r="P449" i="3"/>
  <c r="D449" i="3"/>
  <c r="C449" i="3"/>
  <c r="R448" i="3"/>
  <c r="Q448" i="3"/>
  <c r="S448" i="3" s="1"/>
  <c r="P448" i="3"/>
  <c r="D448" i="3"/>
  <c r="C448" i="3"/>
  <c r="R447" i="3"/>
  <c r="Q447" i="3"/>
  <c r="S447" i="3" s="1"/>
  <c r="P447" i="3"/>
  <c r="D447" i="3"/>
  <c r="C447" i="3"/>
  <c r="R446" i="3"/>
  <c r="Q446" i="3"/>
  <c r="S446" i="3" s="1"/>
  <c r="P446" i="3"/>
  <c r="D446" i="3"/>
  <c r="C446" i="3"/>
  <c r="R445" i="3"/>
  <c r="Q445" i="3"/>
  <c r="P445" i="3"/>
  <c r="D445" i="3"/>
  <c r="C445" i="3"/>
  <c r="W444" i="3"/>
  <c r="V444" i="3"/>
  <c r="U444" i="3"/>
  <c r="O444" i="3"/>
  <c r="N444" i="3"/>
  <c r="M444" i="3"/>
  <c r="L444" i="3"/>
  <c r="K444" i="3"/>
  <c r="J444" i="3"/>
  <c r="I444" i="3"/>
  <c r="H444" i="3"/>
  <c r="G444" i="3"/>
  <c r="F444" i="3"/>
  <c r="R443" i="3"/>
  <c r="Q443" i="3"/>
  <c r="S443" i="3" s="1"/>
  <c r="P443" i="3"/>
  <c r="D443" i="3"/>
  <c r="C443" i="3"/>
  <c r="R442" i="3"/>
  <c r="Q442" i="3"/>
  <c r="S442" i="3" s="1"/>
  <c r="P442" i="3"/>
  <c r="D442" i="3"/>
  <c r="C442" i="3"/>
  <c r="R441" i="3"/>
  <c r="Q441" i="3"/>
  <c r="P441" i="3"/>
  <c r="D441" i="3"/>
  <c r="C441" i="3"/>
  <c r="W440" i="3"/>
  <c r="V440" i="3"/>
  <c r="U440" i="3"/>
  <c r="O440" i="3"/>
  <c r="N440" i="3"/>
  <c r="M440" i="3"/>
  <c r="L440" i="3"/>
  <c r="K440" i="3"/>
  <c r="J440" i="3"/>
  <c r="I440" i="3"/>
  <c r="H440" i="3"/>
  <c r="G440" i="3"/>
  <c r="F440" i="3"/>
  <c r="R439" i="3"/>
  <c r="Q439" i="3"/>
  <c r="S439" i="3" s="1"/>
  <c r="P439" i="3"/>
  <c r="D439" i="3"/>
  <c r="C439" i="3"/>
  <c r="R438" i="3"/>
  <c r="Q438" i="3"/>
  <c r="S438" i="3" s="1"/>
  <c r="P438" i="3"/>
  <c r="D438" i="3"/>
  <c r="C438" i="3"/>
  <c r="R437" i="3"/>
  <c r="Q437" i="3"/>
  <c r="S437" i="3" s="1"/>
  <c r="P437" i="3"/>
  <c r="D437" i="3"/>
  <c r="C437" i="3"/>
  <c r="R436" i="3"/>
  <c r="Q436" i="3"/>
  <c r="S436" i="3" s="1"/>
  <c r="P436" i="3"/>
  <c r="D436" i="3"/>
  <c r="C436" i="3"/>
  <c r="R435" i="3"/>
  <c r="Q435" i="3"/>
  <c r="S435" i="3" s="1"/>
  <c r="P435" i="3"/>
  <c r="D435" i="3"/>
  <c r="C435" i="3"/>
  <c r="R434" i="3"/>
  <c r="Q434" i="3"/>
  <c r="S434" i="3" s="1"/>
  <c r="P434" i="3"/>
  <c r="D434" i="3"/>
  <c r="C434" i="3"/>
  <c r="Q433" i="3"/>
  <c r="S433" i="3" s="1"/>
  <c r="P433" i="3"/>
  <c r="D433" i="3"/>
  <c r="C433" i="3"/>
  <c r="R432" i="3"/>
  <c r="Q432" i="3"/>
  <c r="S432" i="3" s="1"/>
  <c r="P432" i="3"/>
  <c r="D432" i="3"/>
  <c r="C432" i="3"/>
  <c r="R431" i="3"/>
  <c r="Q431" i="3"/>
  <c r="P431" i="3"/>
  <c r="D431" i="3"/>
  <c r="C431" i="3"/>
  <c r="R430" i="3"/>
  <c r="Q430" i="3"/>
  <c r="S430" i="3" s="1"/>
  <c r="P430" i="3"/>
  <c r="D430" i="3"/>
  <c r="C430" i="3"/>
  <c r="R429" i="3"/>
  <c r="Q429" i="3"/>
  <c r="P429" i="3"/>
  <c r="D429" i="3"/>
  <c r="C429" i="3"/>
  <c r="Q428" i="3"/>
  <c r="W426" i="3"/>
  <c r="V426" i="3"/>
  <c r="U426" i="3"/>
  <c r="O426" i="3"/>
  <c r="N426" i="3"/>
  <c r="M426" i="3"/>
  <c r="L426" i="3"/>
  <c r="K426" i="3"/>
  <c r="J426" i="3"/>
  <c r="I426" i="3"/>
  <c r="H426" i="3"/>
  <c r="G426" i="3"/>
  <c r="F426" i="3"/>
  <c r="R425" i="3"/>
  <c r="Q425" i="3"/>
  <c r="S425" i="3" s="1"/>
  <c r="P425" i="3"/>
  <c r="D425" i="3"/>
  <c r="C425" i="3"/>
  <c r="R424" i="3"/>
  <c r="Q424" i="3"/>
  <c r="S424" i="3" s="1"/>
  <c r="P424" i="3"/>
  <c r="D424" i="3"/>
  <c r="C424" i="3"/>
  <c r="R423" i="3"/>
  <c r="Q423" i="3"/>
  <c r="P423" i="3"/>
  <c r="D423" i="3"/>
  <c r="C423" i="3"/>
  <c r="W422" i="3"/>
  <c r="V422" i="3"/>
  <c r="U422" i="3"/>
  <c r="O422" i="3"/>
  <c r="N422" i="3"/>
  <c r="M422" i="3"/>
  <c r="L422" i="3"/>
  <c r="K422" i="3"/>
  <c r="J422" i="3"/>
  <c r="I422" i="3"/>
  <c r="H422" i="3"/>
  <c r="G422" i="3"/>
  <c r="F422" i="3"/>
  <c r="R421" i="3"/>
  <c r="Q421" i="3"/>
  <c r="S421" i="3" s="1"/>
  <c r="P421" i="3"/>
  <c r="D421" i="3"/>
  <c r="C421" i="3"/>
  <c r="S420" i="3"/>
  <c r="R420" i="3"/>
  <c r="Q420" i="3"/>
  <c r="P420" i="3"/>
  <c r="D420" i="3"/>
  <c r="C420" i="3"/>
  <c r="W419" i="3"/>
  <c r="V419" i="3"/>
  <c r="U419" i="3"/>
  <c r="O419" i="3"/>
  <c r="N419" i="3"/>
  <c r="M419" i="3"/>
  <c r="L419" i="3"/>
  <c r="K419" i="3"/>
  <c r="J419" i="3"/>
  <c r="I419" i="3"/>
  <c r="H419" i="3"/>
  <c r="G419" i="3"/>
  <c r="F419" i="3"/>
  <c r="R418" i="3"/>
  <c r="Q418" i="3"/>
  <c r="S418" i="3" s="1"/>
  <c r="P418" i="3"/>
  <c r="D418" i="3"/>
  <c r="C418" i="3"/>
  <c r="S417" i="3"/>
  <c r="R417" i="3"/>
  <c r="Q417" i="3"/>
  <c r="P417" i="3"/>
  <c r="D417" i="3"/>
  <c r="C417" i="3"/>
  <c r="R416" i="3"/>
  <c r="Q416" i="3"/>
  <c r="P416" i="3"/>
  <c r="D416" i="3"/>
  <c r="C416" i="3"/>
  <c r="W415" i="3"/>
  <c r="V415" i="3"/>
  <c r="U415" i="3"/>
  <c r="O415" i="3"/>
  <c r="N415" i="3"/>
  <c r="M415" i="3"/>
  <c r="L415" i="3"/>
  <c r="K415" i="3"/>
  <c r="J415" i="3"/>
  <c r="I415" i="3"/>
  <c r="H415" i="3"/>
  <c r="G415" i="3"/>
  <c r="F415" i="3"/>
  <c r="R414" i="3"/>
  <c r="Q414" i="3"/>
  <c r="S414" i="3" s="1"/>
  <c r="P414" i="3"/>
  <c r="D414" i="3"/>
  <c r="C414" i="3"/>
  <c r="R413" i="3"/>
  <c r="Q413" i="3"/>
  <c r="S413" i="3" s="1"/>
  <c r="P413" i="3"/>
  <c r="D413" i="3"/>
  <c r="C413" i="3"/>
  <c r="R412" i="3"/>
  <c r="Q412" i="3"/>
  <c r="S412" i="3" s="1"/>
  <c r="P412" i="3"/>
  <c r="D412" i="3"/>
  <c r="C412" i="3"/>
  <c r="R411" i="3"/>
  <c r="Q411" i="3"/>
  <c r="S411" i="3" s="1"/>
  <c r="P411" i="3"/>
  <c r="D411" i="3"/>
  <c r="C411" i="3"/>
  <c r="R410" i="3"/>
  <c r="Q410" i="3"/>
  <c r="S410" i="3" s="1"/>
  <c r="P410" i="3"/>
  <c r="D410" i="3"/>
  <c r="C410" i="3"/>
  <c r="Q409" i="3"/>
  <c r="S409" i="3" s="1"/>
  <c r="P409" i="3"/>
  <c r="D409" i="3"/>
  <c r="C409" i="3"/>
  <c r="R408" i="3"/>
  <c r="Q408" i="3"/>
  <c r="S408" i="3" s="1"/>
  <c r="P408" i="3"/>
  <c r="D408" i="3"/>
  <c r="C408" i="3"/>
  <c r="R407" i="3"/>
  <c r="Q407" i="3"/>
  <c r="S407" i="3" s="1"/>
  <c r="P407" i="3"/>
  <c r="D407" i="3"/>
  <c r="C407" i="3"/>
  <c r="R406" i="3"/>
  <c r="Q406" i="3"/>
  <c r="S406" i="3" s="1"/>
  <c r="P406" i="3"/>
  <c r="D406" i="3"/>
  <c r="C406" i="3"/>
  <c r="R405" i="3"/>
  <c r="Q405" i="3"/>
  <c r="S405" i="3" s="1"/>
  <c r="P405" i="3"/>
  <c r="D405" i="3"/>
  <c r="C405" i="3"/>
  <c r="R404" i="3"/>
  <c r="Q404" i="3"/>
  <c r="S404" i="3" s="1"/>
  <c r="P404" i="3"/>
  <c r="D404" i="3"/>
  <c r="C404" i="3"/>
  <c r="R403" i="3"/>
  <c r="Q403" i="3"/>
  <c r="S403" i="3" s="1"/>
  <c r="P403" i="3"/>
  <c r="D403" i="3"/>
  <c r="C403" i="3"/>
  <c r="R402" i="3"/>
  <c r="Q402" i="3"/>
  <c r="S402" i="3" s="1"/>
  <c r="P402" i="3"/>
  <c r="D402" i="3"/>
  <c r="C402" i="3"/>
  <c r="U401" i="3"/>
  <c r="S401" i="3"/>
  <c r="R400" i="3"/>
  <c r="R401" i="3" s="1"/>
  <c r="Q400" i="3"/>
  <c r="Q401" i="3" s="1"/>
  <c r="P400" i="3"/>
  <c r="P401" i="3" s="1"/>
  <c r="D400" i="3"/>
  <c r="C400" i="3"/>
  <c r="W399" i="3"/>
  <c r="V399" i="3"/>
  <c r="U399" i="3"/>
  <c r="O399" i="3"/>
  <c r="N399" i="3"/>
  <c r="M399" i="3"/>
  <c r="L399" i="3"/>
  <c r="K399" i="3"/>
  <c r="J399" i="3"/>
  <c r="I399" i="3"/>
  <c r="H399" i="3"/>
  <c r="G399" i="3"/>
  <c r="F399" i="3"/>
  <c r="R398" i="3"/>
  <c r="Q398" i="3"/>
  <c r="S398" i="3" s="1"/>
  <c r="P398" i="3"/>
  <c r="D398" i="3"/>
  <c r="C398" i="3"/>
  <c r="R397" i="3"/>
  <c r="Q397" i="3"/>
  <c r="S397" i="3" s="1"/>
  <c r="P397" i="3"/>
  <c r="D397" i="3"/>
  <c r="C397" i="3"/>
  <c r="R396" i="3"/>
  <c r="Q396" i="3"/>
  <c r="P396" i="3"/>
  <c r="D396" i="3"/>
  <c r="C396" i="3"/>
  <c r="W395" i="3"/>
  <c r="V395" i="3"/>
  <c r="U395" i="3"/>
  <c r="O395" i="3"/>
  <c r="N395" i="3"/>
  <c r="M395" i="3"/>
  <c r="L395" i="3"/>
  <c r="K395" i="3"/>
  <c r="J395" i="3"/>
  <c r="I395" i="3"/>
  <c r="H395" i="3"/>
  <c r="G395" i="3"/>
  <c r="F395" i="3"/>
  <c r="R394" i="3"/>
  <c r="Q394" i="3"/>
  <c r="S394" i="3" s="1"/>
  <c r="P394" i="3"/>
  <c r="D394" i="3"/>
  <c r="C394" i="3"/>
  <c r="R393" i="3"/>
  <c r="Q393" i="3"/>
  <c r="S393" i="3" s="1"/>
  <c r="P393" i="3"/>
  <c r="D393" i="3"/>
  <c r="C393" i="3"/>
  <c r="P392" i="3"/>
  <c r="R391" i="3"/>
  <c r="Q391" i="3"/>
  <c r="S391" i="3" s="1"/>
  <c r="P391" i="3"/>
  <c r="D391" i="3"/>
  <c r="C391" i="3"/>
  <c r="R390" i="3"/>
  <c r="Q390" i="3"/>
  <c r="S390" i="3" s="1"/>
  <c r="P390" i="3"/>
  <c r="D390" i="3"/>
  <c r="C390" i="3"/>
  <c r="R389" i="3"/>
  <c r="Q389" i="3"/>
  <c r="S389" i="3" s="1"/>
  <c r="P389" i="3"/>
  <c r="D389" i="3"/>
  <c r="C389" i="3"/>
  <c r="R388" i="3"/>
  <c r="Q388" i="3"/>
  <c r="S388" i="3" s="1"/>
  <c r="P388" i="3"/>
  <c r="D388" i="3"/>
  <c r="C388" i="3"/>
  <c r="R387" i="3"/>
  <c r="Q387" i="3"/>
  <c r="S387" i="3" s="1"/>
  <c r="P387" i="3"/>
  <c r="D387" i="3"/>
  <c r="C387" i="3"/>
  <c r="Q386" i="3"/>
  <c r="S386" i="3" s="1"/>
  <c r="P386" i="3"/>
  <c r="D386" i="3"/>
  <c r="C386" i="3"/>
  <c r="R385" i="3"/>
  <c r="Q385" i="3"/>
  <c r="S385" i="3" s="1"/>
  <c r="P385" i="3"/>
  <c r="D385" i="3"/>
  <c r="C385" i="3"/>
  <c r="R384" i="3"/>
  <c r="Q384" i="3"/>
  <c r="S384" i="3" s="1"/>
  <c r="P384" i="3"/>
  <c r="D384" i="3"/>
  <c r="C384" i="3"/>
  <c r="R383" i="3"/>
  <c r="Q383" i="3"/>
  <c r="S383" i="3" s="1"/>
  <c r="P383" i="3"/>
  <c r="D383" i="3"/>
  <c r="C383" i="3"/>
  <c r="R382" i="3"/>
  <c r="Q382" i="3"/>
  <c r="S382" i="3" s="1"/>
  <c r="P382" i="3"/>
  <c r="D382" i="3"/>
  <c r="C382" i="3"/>
  <c r="Q381" i="3"/>
  <c r="S381" i="3" s="1"/>
  <c r="P381" i="3"/>
  <c r="D381" i="3"/>
  <c r="C381" i="3"/>
  <c r="R380" i="3"/>
  <c r="Q380" i="3"/>
  <c r="S380" i="3" s="1"/>
  <c r="P380" i="3"/>
  <c r="D380" i="3"/>
  <c r="C380" i="3"/>
  <c r="R379" i="3"/>
  <c r="Q379" i="3"/>
  <c r="P379" i="3"/>
  <c r="D379" i="3"/>
  <c r="C379" i="3"/>
  <c r="R378" i="3"/>
  <c r="Q378" i="3"/>
  <c r="S378" i="3" s="1"/>
  <c r="P378" i="3"/>
  <c r="D378" i="3"/>
  <c r="C378" i="3"/>
  <c r="R377" i="3"/>
  <c r="Q377" i="3"/>
  <c r="S377" i="3" s="1"/>
  <c r="P377" i="3"/>
  <c r="D377" i="3"/>
  <c r="C377" i="3"/>
  <c r="R376" i="3"/>
  <c r="Q376" i="3"/>
  <c r="S376" i="3" s="1"/>
  <c r="P376" i="3"/>
  <c r="D376" i="3"/>
  <c r="C376" i="3"/>
  <c r="W375" i="3"/>
  <c r="V375" i="3"/>
  <c r="U375" i="3"/>
  <c r="R374" i="3"/>
  <c r="Q374" i="3"/>
  <c r="S374" i="3" s="1"/>
  <c r="P374" i="3"/>
  <c r="D374" i="3"/>
  <c r="C374" i="3"/>
  <c r="R373" i="3"/>
  <c r="Q373" i="3"/>
  <c r="S373" i="3" s="1"/>
  <c r="P373" i="3"/>
  <c r="D373" i="3"/>
  <c r="C373" i="3"/>
  <c r="R372" i="3"/>
  <c r="Q372" i="3"/>
  <c r="S372" i="3" s="1"/>
  <c r="P372" i="3"/>
  <c r="D372" i="3"/>
  <c r="C372" i="3"/>
  <c r="R371" i="3"/>
  <c r="Q371" i="3"/>
  <c r="S371" i="3" s="1"/>
  <c r="P371" i="3"/>
  <c r="D371" i="3"/>
  <c r="C371" i="3"/>
  <c r="W370" i="3"/>
  <c r="V370" i="3"/>
  <c r="U370" i="3"/>
  <c r="N370" i="3"/>
  <c r="M370" i="3"/>
  <c r="L370" i="3"/>
  <c r="I370" i="3"/>
  <c r="G370" i="3"/>
  <c r="F370" i="3"/>
  <c r="R369" i="3"/>
  <c r="Q369" i="3"/>
  <c r="S369" i="3" s="1"/>
  <c r="P369" i="3"/>
  <c r="D369" i="3"/>
  <c r="C369" i="3"/>
  <c r="R368" i="3"/>
  <c r="Q368" i="3"/>
  <c r="S368" i="3" s="1"/>
  <c r="P368" i="3"/>
  <c r="D368" i="3"/>
  <c r="C368" i="3"/>
  <c r="R367" i="3"/>
  <c r="Q367" i="3"/>
  <c r="S367" i="3" s="1"/>
  <c r="P367" i="3"/>
  <c r="D367" i="3"/>
  <c r="C367" i="3"/>
  <c r="R366" i="3"/>
  <c r="Q366" i="3"/>
  <c r="S366" i="3" s="1"/>
  <c r="P366" i="3"/>
  <c r="D366" i="3"/>
  <c r="C366" i="3"/>
  <c r="R365" i="3"/>
  <c r="Q365" i="3"/>
  <c r="S365" i="3" s="1"/>
  <c r="P365" i="3"/>
  <c r="D365" i="3"/>
  <c r="C365" i="3"/>
  <c r="R364" i="3"/>
  <c r="Q364" i="3"/>
  <c r="S364" i="3" s="1"/>
  <c r="P364" i="3"/>
  <c r="D364" i="3"/>
  <c r="C364" i="3"/>
  <c r="R363" i="3"/>
  <c r="Q363" i="3"/>
  <c r="S363" i="3" s="1"/>
  <c r="P363" i="3"/>
  <c r="D363" i="3"/>
  <c r="C363" i="3"/>
  <c r="R362" i="3"/>
  <c r="Q362" i="3"/>
  <c r="S362" i="3" s="1"/>
  <c r="P362" i="3"/>
  <c r="D362" i="3"/>
  <c r="C362" i="3"/>
  <c r="R361" i="3"/>
  <c r="Q361" i="3"/>
  <c r="P361" i="3"/>
  <c r="D361" i="3"/>
  <c r="C361" i="3"/>
  <c r="R360" i="3"/>
  <c r="Q360" i="3"/>
  <c r="S360" i="3" s="1"/>
  <c r="P360" i="3"/>
  <c r="D360" i="3"/>
  <c r="C360" i="3"/>
  <c r="R359" i="3"/>
  <c r="Q359" i="3"/>
  <c r="S359" i="3" s="1"/>
  <c r="P359" i="3"/>
  <c r="D359" i="3"/>
  <c r="C359" i="3"/>
  <c r="R358" i="3"/>
  <c r="Q358" i="3"/>
  <c r="S358" i="3" s="1"/>
  <c r="P358" i="3"/>
  <c r="D358" i="3"/>
  <c r="C358" i="3"/>
  <c r="R357" i="3"/>
  <c r="Q357" i="3"/>
  <c r="P357" i="3"/>
  <c r="D357" i="3"/>
  <c r="C357" i="3"/>
  <c r="R356" i="3"/>
  <c r="Q356" i="3"/>
  <c r="S356" i="3" s="1"/>
  <c r="P356" i="3"/>
  <c r="D356" i="3"/>
  <c r="C356" i="3"/>
  <c r="R355" i="3"/>
  <c r="Q355" i="3"/>
  <c r="P355" i="3"/>
  <c r="D355" i="3"/>
  <c r="C355" i="3"/>
  <c r="R354" i="3"/>
  <c r="Q354" i="3"/>
  <c r="S354" i="3" s="1"/>
  <c r="P354" i="3"/>
  <c r="O354" i="3"/>
  <c r="O370" i="3" s="1"/>
  <c r="J354" i="3"/>
  <c r="J370" i="3" s="1"/>
  <c r="H354" i="3"/>
  <c r="H370" i="3" s="1"/>
  <c r="D354" i="3"/>
  <c r="C354" i="3"/>
  <c r="U348" i="3"/>
  <c r="N348" i="3"/>
  <c r="M348" i="3"/>
  <c r="L348" i="3"/>
  <c r="G348" i="3"/>
  <c r="F348" i="3"/>
  <c r="R347" i="3"/>
  <c r="Q347" i="3"/>
  <c r="S347" i="3" s="1"/>
  <c r="P347" i="3"/>
  <c r="O347" i="3"/>
  <c r="J347" i="3"/>
  <c r="K347" i="3" s="1"/>
  <c r="D347" i="3"/>
  <c r="C347" i="3"/>
  <c r="R346" i="3"/>
  <c r="Q346" i="3"/>
  <c r="S346" i="3" s="1"/>
  <c r="P346" i="3"/>
  <c r="O346" i="3"/>
  <c r="J346" i="3"/>
  <c r="D346" i="3"/>
  <c r="C346" i="3"/>
  <c r="R345" i="3"/>
  <c r="Q345" i="3"/>
  <c r="P345" i="3"/>
  <c r="O345" i="3"/>
  <c r="O348" i="3" s="1"/>
  <c r="J345" i="3"/>
  <c r="H345" i="3"/>
  <c r="H348" i="3" s="1"/>
  <c r="D345" i="3"/>
  <c r="C345" i="3"/>
  <c r="U343" i="3"/>
  <c r="O343" i="3"/>
  <c r="N343" i="3"/>
  <c r="M343" i="3"/>
  <c r="L343" i="3"/>
  <c r="K343" i="3"/>
  <c r="J343" i="3"/>
  <c r="I343" i="3"/>
  <c r="H343" i="3"/>
  <c r="G343" i="3"/>
  <c r="F343" i="3"/>
  <c r="R342" i="3"/>
  <c r="Q342" i="3"/>
  <c r="S342" i="3" s="1"/>
  <c r="P342" i="3"/>
  <c r="D342" i="3"/>
  <c r="C342" i="3"/>
  <c r="R341" i="3"/>
  <c r="Q341" i="3"/>
  <c r="S341" i="3" s="1"/>
  <c r="P341" i="3"/>
  <c r="D341" i="3"/>
  <c r="C341" i="3"/>
  <c r="R340" i="3"/>
  <c r="Q340" i="3"/>
  <c r="S340" i="3" s="1"/>
  <c r="P340" i="3"/>
  <c r="D340" i="3"/>
  <c r="C340" i="3"/>
  <c r="R339" i="3"/>
  <c r="Q339" i="3"/>
  <c r="S339" i="3" s="1"/>
  <c r="P339" i="3"/>
  <c r="D339" i="3"/>
  <c r="C339" i="3"/>
  <c r="R338" i="3"/>
  <c r="Q338" i="3"/>
  <c r="S338" i="3" s="1"/>
  <c r="P338" i="3"/>
  <c r="D338" i="3"/>
  <c r="C338" i="3"/>
  <c r="R337" i="3"/>
  <c r="Q337" i="3"/>
  <c r="S337" i="3" s="1"/>
  <c r="P337" i="3"/>
  <c r="D337" i="3"/>
  <c r="C337" i="3"/>
  <c r="Q336" i="3"/>
  <c r="S336" i="3" s="1"/>
  <c r="P336" i="3"/>
  <c r="D336" i="3"/>
  <c r="C336" i="3"/>
  <c r="R335" i="3"/>
  <c r="Q335" i="3"/>
  <c r="S335" i="3" s="1"/>
  <c r="P335" i="3"/>
  <c r="D335" i="3"/>
  <c r="C335" i="3"/>
  <c r="R334" i="3"/>
  <c r="Q334" i="3"/>
  <c r="S334" i="3" s="1"/>
  <c r="P334" i="3"/>
  <c r="D334" i="3"/>
  <c r="C334" i="3"/>
  <c r="R333" i="3"/>
  <c r="Q333" i="3"/>
  <c r="S333" i="3" s="1"/>
  <c r="P333" i="3"/>
  <c r="D333" i="3"/>
  <c r="C333" i="3"/>
  <c r="R332" i="3"/>
  <c r="Q332" i="3"/>
  <c r="S332" i="3" s="1"/>
  <c r="P332" i="3"/>
  <c r="D332" i="3"/>
  <c r="C332" i="3"/>
  <c r="R331" i="3"/>
  <c r="Q331" i="3"/>
  <c r="S331" i="3" s="1"/>
  <c r="P331" i="3"/>
  <c r="D331" i="3"/>
  <c r="C331" i="3"/>
  <c r="R330" i="3"/>
  <c r="Q330" i="3"/>
  <c r="S330" i="3" s="1"/>
  <c r="P330" i="3"/>
  <c r="D330" i="3"/>
  <c r="C330" i="3"/>
  <c r="R329" i="3"/>
  <c r="Q329" i="3"/>
  <c r="S329" i="3" s="1"/>
  <c r="P329" i="3"/>
  <c r="D329" i="3"/>
  <c r="C329" i="3"/>
  <c r="R328" i="3"/>
  <c r="Q328" i="3"/>
  <c r="S328" i="3" s="1"/>
  <c r="P328" i="3"/>
  <c r="D328" i="3"/>
  <c r="C328" i="3"/>
  <c r="U325" i="3"/>
  <c r="O325" i="3"/>
  <c r="N325" i="3"/>
  <c r="M325" i="3"/>
  <c r="L325" i="3"/>
  <c r="K325" i="3"/>
  <c r="J325" i="3"/>
  <c r="I325" i="3"/>
  <c r="H325" i="3"/>
  <c r="G325" i="3"/>
  <c r="F325" i="3"/>
  <c r="D323" i="3"/>
  <c r="C323" i="3"/>
  <c r="R322" i="3"/>
  <c r="Q322" i="3"/>
  <c r="S322" i="3" s="1"/>
  <c r="P322" i="3"/>
  <c r="D322" i="3"/>
  <c r="C322" i="3"/>
  <c r="D321" i="3"/>
  <c r="C321" i="3"/>
  <c r="R320" i="3"/>
  <c r="Q320" i="3"/>
  <c r="S320" i="3" s="1"/>
  <c r="P320" i="3"/>
  <c r="D320" i="3"/>
  <c r="C320" i="3"/>
  <c r="R319" i="3"/>
  <c r="Q319" i="3"/>
  <c r="S319" i="3" s="1"/>
  <c r="P319" i="3"/>
  <c r="D319" i="3"/>
  <c r="C319" i="3"/>
  <c r="D318" i="3"/>
  <c r="C318" i="3"/>
  <c r="D317" i="3"/>
  <c r="C317" i="3"/>
  <c r="R316" i="3"/>
  <c r="Q316" i="3"/>
  <c r="S316" i="3" s="1"/>
  <c r="P316" i="3"/>
  <c r="O316" i="3"/>
  <c r="D316" i="3"/>
  <c r="C316" i="3"/>
  <c r="R315" i="3"/>
  <c r="Q315" i="3"/>
  <c r="S315" i="3" s="1"/>
  <c r="P315" i="3"/>
  <c r="D315" i="3"/>
  <c r="C315" i="3"/>
  <c r="R314" i="3"/>
  <c r="Q314" i="3"/>
  <c r="S314" i="3" s="1"/>
  <c r="P314" i="3"/>
  <c r="O314" i="3"/>
  <c r="K314" i="3"/>
  <c r="D314" i="3"/>
  <c r="C314" i="3"/>
  <c r="D313" i="3"/>
  <c r="C313" i="3"/>
  <c r="D312" i="3"/>
  <c r="C312" i="3"/>
  <c r="R311" i="3"/>
  <c r="Q311" i="3"/>
  <c r="S311" i="3" s="1"/>
  <c r="P311" i="3"/>
  <c r="O311" i="3"/>
  <c r="D311" i="3"/>
  <c r="C311" i="3"/>
  <c r="R310" i="3"/>
  <c r="Q310" i="3"/>
  <c r="P310" i="3"/>
  <c r="O310" i="3"/>
  <c r="K310" i="3"/>
  <c r="J310" i="3"/>
  <c r="H310" i="3"/>
  <c r="D310" i="3"/>
  <c r="C310" i="3"/>
  <c r="D309" i="3"/>
  <c r="C309" i="3"/>
  <c r="D308" i="3"/>
  <c r="C308" i="3"/>
  <c r="D307" i="3"/>
  <c r="C307" i="3"/>
  <c r="D306" i="3"/>
  <c r="C306" i="3"/>
  <c r="D305" i="3"/>
  <c r="C305" i="3"/>
  <c r="U304" i="3"/>
  <c r="N304" i="3"/>
  <c r="M304" i="3"/>
  <c r="L304" i="3"/>
  <c r="G304" i="3"/>
  <c r="F304" i="3"/>
  <c r="D302" i="3"/>
  <c r="C302" i="3"/>
  <c r="D301" i="3"/>
  <c r="C301" i="3"/>
  <c r="R300" i="3"/>
  <c r="Q300" i="3"/>
  <c r="S300" i="3" s="1"/>
  <c r="P300" i="3"/>
  <c r="O300" i="3"/>
  <c r="J300" i="3"/>
  <c r="K300" i="3" s="1"/>
  <c r="H300" i="3"/>
  <c r="I300" i="3" s="1"/>
  <c r="I304" i="3" s="1"/>
  <c r="D300" i="3"/>
  <c r="C300" i="3"/>
  <c r="R299" i="3"/>
  <c r="Q299" i="3"/>
  <c r="S299" i="3" s="1"/>
  <c r="P299" i="3"/>
  <c r="O299" i="3"/>
  <c r="J299" i="3"/>
  <c r="K299" i="3" s="1"/>
  <c r="H299" i="3"/>
  <c r="D299" i="3"/>
  <c r="C299" i="3"/>
  <c r="D298" i="3"/>
  <c r="C298" i="3"/>
  <c r="R297" i="3"/>
  <c r="Q297" i="3"/>
  <c r="S297" i="3" s="1"/>
  <c r="P297" i="3"/>
  <c r="O297" i="3"/>
  <c r="J297" i="3"/>
  <c r="K297" i="3" s="1"/>
  <c r="H297" i="3"/>
  <c r="D297" i="3"/>
  <c r="C297" i="3"/>
  <c r="D296" i="3"/>
  <c r="C296" i="3"/>
  <c r="R295" i="3"/>
  <c r="Q295" i="3"/>
  <c r="S295" i="3" s="1"/>
  <c r="P295" i="3"/>
  <c r="O295" i="3"/>
  <c r="O304" i="3" s="1"/>
  <c r="J295" i="3"/>
  <c r="J304" i="3" s="1"/>
  <c r="H295" i="3"/>
  <c r="D295" i="3"/>
  <c r="C295" i="3"/>
  <c r="R294" i="3"/>
  <c r="Q294" i="3"/>
  <c r="S294" i="3" s="1"/>
  <c r="P294" i="3"/>
  <c r="O294" i="3"/>
  <c r="J294" i="3"/>
  <c r="K294" i="3" s="1"/>
  <c r="H294" i="3"/>
  <c r="D294" i="3"/>
  <c r="C294" i="3"/>
  <c r="D293" i="3"/>
  <c r="C293" i="3"/>
  <c r="D292" i="3"/>
  <c r="C292" i="3"/>
  <c r="R291" i="3"/>
  <c r="Q291" i="3"/>
  <c r="S291" i="3" s="1"/>
  <c r="P291" i="3"/>
  <c r="O291" i="3"/>
  <c r="D291" i="3"/>
  <c r="C291" i="3"/>
  <c r="R290" i="3"/>
  <c r="Q290" i="3"/>
  <c r="S290" i="3" s="1"/>
  <c r="P290" i="3"/>
  <c r="J290" i="3"/>
  <c r="K290" i="3" s="1"/>
  <c r="H290" i="3"/>
  <c r="D290" i="3"/>
  <c r="C290" i="3"/>
  <c r="D289" i="3"/>
  <c r="C289" i="3"/>
  <c r="D288" i="3"/>
  <c r="C288" i="3"/>
  <c r="D287" i="3"/>
  <c r="C287" i="3"/>
  <c r="R286" i="3"/>
  <c r="Q286" i="3"/>
  <c r="P286" i="3"/>
  <c r="O286" i="3"/>
  <c r="J286" i="3"/>
  <c r="K286" i="3" s="1"/>
  <c r="H286" i="3"/>
  <c r="D286" i="3"/>
  <c r="C286" i="3"/>
  <c r="U285" i="3"/>
  <c r="N285" i="3"/>
  <c r="M285" i="3"/>
  <c r="L285" i="3"/>
  <c r="I285" i="3"/>
  <c r="G285" i="3"/>
  <c r="F285" i="3"/>
  <c r="D284" i="3"/>
  <c r="C284" i="3"/>
  <c r="R283" i="3"/>
  <c r="Q283" i="3"/>
  <c r="S283" i="3" s="1"/>
  <c r="P283" i="3"/>
  <c r="O283" i="3"/>
  <c r="J283" i="3"/>
  <c r="K283" i="3" s="1"/>
  <c r="H283" i="3"/>
  <c r="D283" i="3"/>
  <c r="C283" i="3"/>
  <c r="D282" i="3"/>
  <c r="C282" i="3"/>
  <c r="R281" i="3"/>
  <c r="Q281" i="3"/>
  <c r="S281" i="3" s="1"/>
  <c r="P281" i="3"/>
  <c r="O281" i="3"/>
  <c r="J281" i="3"/>
  <c r="K281" i="3" s="1"/>
  <c r="H281" i="3"/>
  <c r="D281" i="3"/>
  <c r="C281" i="3"/>
  <c r="R280" i="3"/>
  <c r="Q280" i="3"/>
  <c r="S280" i="3" s="1"/>
  <c r="P280" i="3"/>
  <c r="O280" i="3"/>
  <c r="J280" i="3"/>
  <c r="K280" i="3" s="1"/>
  <c r="H280" i="3"/>
  <c r="D280" i="3"/>
  <c r="C280" i="3"/>
  <c r="R279" i="3"/>
  <c r="Q279" i="3"/>
  <c r="S279" i="3" s="1"/>
  <c r="P279" i="3"/>
  <c r="O279" i="3"/>
  <c r="K279" i="3"/>
  <c r="D279" i="3"/>
  <c r="C279" i="3"/>
  <c r="R278" i="3"/>
  <c r="Q278" i="3"/>
  <c r="S278" i="3" s="1"/>
  <c r="P278" i="3"/>
  <c r="P285" i="3" s="1"/>
  <c r="O278" i="3"/>
  <c r="O285" i="3" s="1"/>
  <c r="J278" i="3"/>
  <c r="J285" i="3" s="1"/>
  <c r="H278" i="3"/>
  <c r="D278" i="3"/>
  <c r="C278" i="3"/>
  <c r="D277" i="3"/>
  <c r="C277" i="3"/>
  <c r="D276" i="3"/>
  <c r="C276" i="3"/>
  <c r="D275" i="3"/>
  <c r="C275" i="3"/>
  <c r="D274" i="3"/>
  <c r="C274" i="3"/>
  <c r="D273" i="3"/>
  <c r="C273" i="3"/>
  <c r="D272" i="3"/>
  <c r="C272" i="3"/>
  <c r="U271" i="3"/>
  <c r="N271" i="3"/>
  <c r="M271" i="3"/>
  <c r="L271" i="3"/>
  <c r="G271" i="3"/>
  <c r="F271" i="3"/>
  <c r="R270" i="3"/>
  <c r="Q270" i="3"/>
  <c r="S270" i="3" s="1"/>
  <c r="P270" i="3"/>
  <c r="D270" i="3"/>
  <c r="C270" i="3"/>
  <c r="R269" i="3"/>
  <c r="Q269" i="3"/>
  <c r="S269" i="3" s="1"/>
  <c r="P269" i="3"/>
  <c r="D269" i="3"/>
  <c r="C269" i="3"/>
  <c r="D268" i="3"/>
  <c r="C268" i="3"/>
  <c r="R267" i="3"/>
  <c r="Q267" i="3"/>
  <c r="S267" i="3" s="1"/>
  <c r="P267" i="3"/>
  <c r="D267" i="3"/>
  <c r="C267" i="3"/>
  <c r="R266" i="3"/>
  <c r="Q266" i="3"/>
  <c r="S266" i="3" s="1"/>
  <c r="P266" i="3"/>
  <c r="D266" i="3"/>
  <c r="C266" i="3"/>
  <c r="R265" i="3"/>
  <c r="Q265" i="3"/>
  <c r="S265" i="3" s="1"/>
  <c r="P265" i="3"/>
  <c r="D265" i="3"/>
  <c r="C265" i="3"/>
  <c r="R264" i="3"/>
  <c r="Q264" i="3"/>
  <c r="S264" i="3" s="1"/>
  <c r="P264" i="3"/>
  <c r="D264" i="3"/>
  <c r="C264" i="3"/>
  <c r="S263" i="3"/>
  <c r="R263" i="3"/>
  <c r="Q263" i="3"/>
  <c r="P263" i="3"/>
  <c r="D263" i="3"/>
  <c r="C263" i="3"/>
  <c r="R262" i="3"/>
  <c r="Q262" i="3"/>
  <c r="S262" i="3" s="1"/>
  <c r="P262" i="3"/>
  <c r="D262" i="3"/>
  <c r="C262" i="3"/>
  <c r="R261" i="3"/>
  <c r="Q261" i="3"/>
  <c r="S261" i="3" s="1"/>
  <c r="P261" i="3"/>
  <c r="O261" i="3"/>
  <c r="J261" i="3"/>
  <c r="K261" i="3" s="1"/>
  <c r="H261" i="3"/>
  <c r="I261" i="3" s="1"/>
  <c r="D261" i="3"/>
  <c r="C261" i="3"/>
  <c r="R260" i="3"/>
  <c r="Q260" i="3"/>
  <c r="S260" i="3" s="1"/>
  <c r="P260" i="3"/>
  <c r="O260" i="3"/>
  <c r="D260" i="3"/>
  <c r="C260" i="3"/>
  <c r="R259" i="3"/>
  <c r="Q259" i="3"/>
  <c r="P259" i="3"/>
  <c r="O259" i="3"/>
  <c r="J259" i="3"/>
  <c r="K259" i="3" s="1"/>
  <c r="K271" i="3" s="1"/>
  <c r="H259" i="3"/>
  <c r="I259" i="3" s="1"/>
  <c r="D259" i="3"/>
  <c r="C259" i="3"/>
  <c r="D258" i="3"/>
  <c r="C258" i="3"/>
  <c r="D257" i="3"/>
  <c r="C257" i="3"/>
  <c r="D256" i="3"/>
  <c r="C256" i="3"/>
  <c r="D255" i="3"/>
  <c r="C255" i="3"/>
  <c r="D254" i="3"/>
  <c r="C254" i="3"/>
  <c r="U253" i="3"/>
  <c r="N253" i="3"/>
  <c r="M253" i="3"/>
  <c r="L253" i="3"/>
  <c r="I253" i="3"/>
  <c r="G253" i="3"/>
  <c r="F253" i="3"/>
  <c r="R252" i="3"/>
  <c r="Q252" i="3"/>
  <c r="S252" i="3" s="1"/>
  <c r="P252" i="3"/>
  <c r="D252" i="3"/>
  <c r="C252" i="3"/>
  <c r="R251" i="3"/>
  <c r="Q251" i="3"/>
  <c r="S251" i="3" s="1"/>
  <c r="P251" i="3"/>
  <c r="D251" i="3"/>
  <c r="C251" i="3"/>
  <c r="R250" i="3"/>
  <c r="Q250" i="3"/>
  <c r="P250" i="3"/>
  <c r="O250" i="3"/>
  <c r="O253" i="3" s="1"/>
  <c r="J250" i="3"/>
  <c r="K250" i="3" s="1"/>
  <c r="K253" i="3" s="1"/>
  <c r="H250" i="3"/>
  <c r="H253" i="3" s="1"/>
  <c r="D250" i="3"/>
  <c r="C250" i="3"/>
  <c r="U248" i="3"/>
  <c r="O248" i="3"/>
  <c r="N248" i="3"/>
  <c r="M248" i="3"/>
  <c r="L248" i="3"/>
  <c r="J248" i="3"/>
  <c r="G248" i="3"/>
  <c r="F248" i="3"/>
  <c r="R247" i="3"/>
  <c r="R248" i="3" s="1"/>
  <c r="Q247" i="3"/>
  <c r="P247" i="3"/>
  <c r="P248" i="3" s="1"/>
  <c r="K247" i="3"/>
  <c r="K248" i="3" s="1"/>
  <c r="H247" i="3"/>
  <c r="I247" i="3" s="1"/>
  <c r="I248" i="3" s="1"/>
  <c r="D247" i="3"/>
  <c r="C247" i="3"/>
  <c r="U245" i="3"/>
  <c r="M245" i="3"/>
  <c r="L245" i="3"/>
  <c r="G245" i="3"/>
  <c r="F245" i="3"/>
  <c r="R244" i="3"/>
  <c r="Q244" i="3"/>
  <c r="S244" i="3" s="1"/>
  <c r="P244" i="3"/>
  <c r="O244" i="3"/>
  <c r="J244" i="3"/>
  <c r="K244" i="3" s="1"/>
  <c r="D244" i="3"/>
  <c r="C244" i="3"/>
  <c r="R243" i="3"/>
  <c r="Q243" i="3"/>
  <c r="S243" i="3" s="1"/>
  <c r="P243" i="3"/>
  <c r="O243" i="3"/>
  <c r="N243" i="3"/>
  <c r="N245" i="3" s="1"/>
  <c r="J243" i="3"/>
  <c r="H243" i="3"/>
  <c r="I243" i="3" s="1"/>
  <c r="I245" i="3" s="1"/>
  <c r="D243" i="3"/>
  <c r="C243" i="3"/>
  <c r="R242" i="3"/>
  <c r="Q242" i="3"/>
  <c r="S242" i="3" s="1"/>
  <c r="P242" i="3"/>
  <c r="D242" i="3"/>
  <c r="C242" i="3"/>
  <c r="R241" i="3"/>
  <c r="Q241" i="3"/>
  <c r="S241" i="3" s="1"/>
  <c r="P241" i="3"/>
  <c r="D241" i="3"/>
  <c r="C241" i="3"/>
  <c r="R240" i="3"/>
  <c r="Q240" i="3"/>
  <c r="S240" i="3" s="1"/>
  <c r="P240" i="3"/>
  <c r="D240" i="3"/>
  <c r="C240" i="3"/>
  <c r="R239" i="3"/>
  <c r="Q239" i="3"/>
  <c r="S239" i="3" s="1"/>
  <c r="P239" i="3"/>
  <c r="D239" i="3"/>
  <c r="C239" i="3"/>
  <c r="R238" i="3"/>
  <c r="Q238" i="3"/>
  <c r="S238" i="3" s="1"/>
  <c r="P238" i="3"/>
  <c r="D238" i="3"/>
  <c r="C238" i="3"/>
  <c r="R237" i="3"/>
  <c r="Q237" i="3"/>
  <c r="S237" i="3" s="1"/>
  <c r="P237" i="3"/>
  <c r="D237" i="3"/>
  <c r="C237" i="3"/>
  <c r="R236" i="3"/>
  <c r="Q236" i="3"/>
  <c r="S236" i="3" s="1"/>
  <c r="P236" i="3"/>
  <c r="D236" i="3"/>
  <c r="C236" i="3"/>
  <c r="R235" i="3"/>
  <c r="Q235" i="3"/>
  <c r="S235" i="3" s="1"/>
  <c r="P235" i="3"/>
  <c r="D235" i="3"/>
  <c r="C235" i="3"/>
  <c r="R234" i="3"/>
  <c r="Q234" i="3"/>
  <c r="S234" i="3" s="1"/>
  <c r="P234" i="3"/>
  <c r="O234" i="3"/>
  <c r="J234" i="3"/>
  <c r="D234" i="3"/>
  <c r="C234" i="3"/>
  <c r="R233" i="3"/>
  <c r="Q233" i="3"/>
  <c r="S233" i="3" s="1"/>
  <c r="P233" i="3"/>
  <c r="O233" i="3"/>
  <c r="D233" i="3"/>
  <c r="C233" i="3"/>
  <c r="R232" i="3"/>
  <c r="Q232" i="3"/>
  <c r="P232" i="3"/>
  <c r="O232" i="3"/>
  <c r="O245" i="3" s="1"/>
  <c r="D232" i="3"/>
  <c r="C232" i="3"/>
  <c r="U229" i="3"/>
  <c r="N229" i="3"/>
  <c r="M229" i="3"/>
  <c r="L229" i="3"/>
  <c r="G229" i="3"/>
  <c r="F229" i="3"/>
  <c r="D228" i="3"/>
  <c r="C228" i="3"/>
  <c r="D227" i="3"/>
  <c r="C227" i="3"/>
  <c r="R226" i="3"/>
  <c r="Q226" i="3"/>
  <c r="S226" i="3" s="1"/>
  <c r="P226" i="3"/>
  <c r="D226" i="3"/>
  <c r="C226" i="3"/>
  <c r="R225" i="3"/>
  <c r="Q225" i="3"/>
  <c r="S225" i="3" s="1"/>
  <c r="P225" i="3"/>
  <c r="D225" i="3"/>
  <c r="C225" i="3"/>
  <c r="R224" i="3"/>
  <c r="Q224" i="3"/>
  <c r="S224" i="3" s="1"/>
  <c r="P224" i="3"/>
  <c r="D224" i="3"/>
  <c r="C224" i="3"/>
  <c r="R223" i="3"/>
  <c r="Q223" i="3"/>
  <c r="S223" i="3" s="1"/>
  <c r="P223" i="3"/>
  <c r="D223" i="3"/>
  <c r="C223" i="3"/>
  <c r="R222" i="3"/>
  <c r="Q222" i="3"/>
  <c r="S222" i="3" s="1"/>
  <c r="P222" i="3"/>
  <c r="D222" i="3"/>
  <c r="C222" i="3"/>
  <c r="R221" i="3"/>
  <c r="Q221" i="3"/>
  <c r="S221" i="3" s="1"/>
  <c r="P221" i="3"/>
  <c r="D221" i="3"/>
  <c r="C221" i="3"/>
  <c r="R220" i="3"/>
  <c r="Q220" i="3"/>
  <c r="S220" i="3" s="1"/>
  <c r="P220" i="3"/>
  <c r="D220" i="3"/>
  <c r="C220" i="3"/>
  <c r="R219" i="3"/>
  <c r="Q219" i="3"/>
  <c r="S219" i="3" s="1"/>
  <c r="P219" i="3"/>
  <c r="D219" i="3"/>
  <c r="C219" i="3"/>
  <c r="R218" i="3"/>
  <c r="Q218" i="3"/>
  <c r="S218" i="3" s="1"/>
  <c r="P218" i="3"/>
  <c r="D218" i="3"/>
  <c r="C218" i="3"/>
  <c r="R217" i="3"/>
  <c r="Q217" i="3"/>
  <c r="S217" i="3" s="1"/>
  <c r="P217" i="3"/>
  <c r="D217" i="3"/>
  <c r="C217" i="3"/>
  <c r="R216" i="3"/>
  <c r="Q216" i="3"/>
  <c r="S216" i="3" s="1"/>
  <c r="P216" i="3"/>
  <c r="D216" i="3"/>
  <c r="C216" i="3"/>
  <c r="R215" i="3"/>
  <c r="Q215" i="3"/>
  <c r="S215" i="3" s="1"/>
  <c r="P215" i="3"/>
  <c r="D215" i="3"/>
  <c r="C215" i="3"/>
  <c r="R214" i="3"/>
  <c r="Q214" i="3"/>
  <c r="S214" i="3" s="1"/>
  <c r="P214" i="3"/>
  <c r="D214" i="3"/>
  <c r="C214" i="3"/>
  <c r="R213" i="3"/>
  <c r="Q213" i="3"/>
  <c r="S213" i="3" s="1"/>
  <c r="P213" i="3"/>
  <c r="D213" i="3"/>
  <c r="C213" i="3"/>
  <c r="S212" i="3"/>
  <c r="R212" i="3"/>
  <c r="Q212" i="3"/>
  <c r="P212" i="3"/>
  <c r="D212" i="3"/>
  <c r="C212" i="3"/>
  <c r="R211" i="3"/>
  <c r="Q211" i="3"/>
  <c r="S211" i="3" s="1"/>
  <c r="P211" i="3"/>
  <c r="D211" i="3"/>
  <c r="C211" i="3"/>
  <c r="R210" i="3"/>
  <c r="Q210" i="3"/>
  <c r="S210" i="3" s="1"/>
  <c r="P210" i="3"/>
  <c r="D210" i="3"/>
  <c r="C210" i="3"/>
  <c r="R209" i="3"/>
  <c r="Q209" i="3"/>
  <c r="S209" i="3" s="1"/>
  <c r="P209" i="3"/>
  <c r="D209" i="3"/>
  <c r="C209" i="3"/>
  <c r="R208" i="3"/>
  <c r="Q208" i="3"/>
  <c r="S208" i="3" s="1"/>
  <c r="P208" i="3"/>
  <c r="D208" i="3"/>
  <c r="C208" i="3"/>
  <c r="R207" i="3"/>
  <c r="Q207" i="3"/>
  <c r="S207" i="3" s="1"/>
  <c r="P207" i="3"/>
  <c r="D207" i="3"/>
  <c r="C207" i="3"/>
  <c r="R206" i="3"/>
  <c r="Q206" i="3"/>
  <c r="S206" i="3" s="1"/>
  <c r="P206" i="3"/>
  <c r="D206" i="3"/>
  <c r="C206" i="3"/>
  <c r="R205" i="3"/>
  <c r="Q205" i="3"/>
  <c r="S205" i="3" s="1"/>
  <c r="P205" i="3"/>
  <c r="D205" i="3"/>
  <c r="C205" i="3"/>
  <c r="R204" i="3"/>
  <c r="Q204" i="3"/>
  <c r="S204" i="3" s="1"/>
  <c r="P204" i="3"/>
  <c r="D204" i="3"/>
  <c r="C204" i="3"/>
  <c r="R203" i="3"/>
  <c r="Q203" i="3"/>
  <c r="S203" i="3" s="1"/>
  <c r="P203" i="3"/>
  <c r="D203" i="3"/>
  <c r="C203" i="3"/>
  <c r="R202" i="3"/>
  <c r="Q202" i="3"/>
  <c r="S202" i="3" s="1"/>
  <c r="P202" i="3"/>
  <c r="D202" i="3"/>
  <c r="C202" i="3"/>
  <c r="R201" i="3"/>
  <c r="Q201" i="3"/>
  <c r="S201" i="3" s="1"/>
  <c r="P201" i="3"/>
  <c r="D201" i="3"/>
  <c r="C201" i="3"/>
  <c r="R200" i="3"/>
  <c r="Q200" i="3"/>
  <c r="S200" i="3" s="1"/>
  <c r="P200" i="3"/>
  <c r="D200" i="3"/>
  <c r="C200" i="3"/>
  <c r="R199" i="3"/>
  <c r="Q199" i="3"/>
  <c r="S199" i="3" s="1"/>
  <c r="P199" i="3"/>
  <c r="D199" i="3"/>
  <c r="C199" i="3"/>
  <c r="R198" i="3"/>
  <c r="Q198" i="3"/>
  <c r="S198" i="3" s="1"/>
  <c r="P198" i="3"/>
  <c r="D198" i="3"/>
  <c r="C198" i="3"/>
  <c r="R197" i="3"/>
  <c r="Q197" i="3"/>
  <c r="S197" i="3" s="1"/>
  <c r="P197" i="3"/>
  <c r="D197" i="3"/>
  <c r="C197" i="3"/>
  <c r="D196" i="3"/>
  <c r="C196" i="3"/>
  <c r="D195" i="3"/>
  <c r="C195" i="3"/>
  <c r="D194" i="3"/>
  <c r="C194" i="3"/>
  <c r="R193" i="3"/>
  <c r="Q193" i="3"/>
  <c r="S193" i="3" s="1"/>
  <c r="P193" i="3"/>
  <c r="D193" i="3"/>
  <c r="C193" i="3"/>
  <c r="R192" i="3"/>
  <c r="Q192" i="3"/>
  <c r="S192" i="3" s="1"/>
  <c r="P192" i="3"/>
  <c r="D192" i="3"/>
  <c r="C192" i="3"/>
  <c r="R191" i="3"/>
  <c r="Q191" i="3"/>
  <c r="S191" i="3" s="1"/>
  <c r="P191" i="3"/>
  <c r="D191" i="3"/>
  <c r="C191" i="3"/>
  <c r="R190" i="3"/>
  <c r="Q190" i="3"/>
  <c r="S190" i="3" s="1"/>
  <c r="P190" i="3"/>
  <c r="D190" i="3"/>
  <c r="C190" i="3"/>
  <c r="R189" i="3"/>
  <c r="Q189" i="3"/>
  <c r="S189" i="3" s="1"/>
  <c r="P189" i="3"/>
  <c r="D189" i="3"/>
  <c r="C189" i="3"/>
  <c r="R188" i="3"/>
  <c r="Q188" i="3"/>
  <c r="S188" i="3" s="1"/>
  <c r="P188" i="3"/>
  <c r="D188" i="3"/>
  <c r="C188" i="3"/>
  <c r="R187" i="3"/>
  <c r="Q187" i="3"/>
  <c r="S187" i="3" s="1"/>
  <c r="P187" i="3"/>
  <c r="D187" i="3"/>
  <c r="C187" i="3"/>
  <c r="R186" i="3"/>
  <c r="Q186" i="3"/>
  <c r="S186" i="3" s="1"/>
  <c r="P186" i="3"/>
  <c r="D186" i="3"/>
  <c r="C186" i="3"/>
  <c r="R185" i="3"/>
  <c r="Q185" i="3"/>
  <c r="S185" i="3" s="1"/>
  <c r="P185" i="3"/>
  <c r="D185" i="3"/>
  <c r="C185" i="3"/>
  <c r="R184" i="3"/>
  <c r="Q184" i="3"/>
  <c r="S184" i="3" s="1"/>
  <c r="P184" i="3"/>
  <c r="D184" i="3"/>
  <c r="C184" i="3"/>
  <c r="R183" i="3"/>
  <c r="Q183" i="3"/>
  <c r="S183" i="3" s="1"/>
  <c r="P183" i="3"/>
  <c r="D183" i="3"/>
  <c r="C183" i="3"/>
  <c r="R182" i="3"/>
  <c r="Q182" i="3"/>
  <c r="S182" i="3" s="1"/>
  <c r="P182" i="3"/>
  <c r="D182" i="3"/>
  <c r="C182" i="3"/>
  <c r="R181" i="3"/>
  <c r="Q181" i="3"/>
  <c r="S181" i="3" s="1"/>
  <c r="P181" i="3"/>
  <c r="D181" i="3"/>
  <c r="C181" i="3"/>
  <c r="R180" i="3"/>
  <c r="Q180" i="3"/>
  <c r="S180" i="3" s="1"/>
  <c r="P180" i="3"/>
  <c r="D180" i="3"/>
  <c r="C180" i="3"/>
  <c r="R179" i="3"/>
  <c r="Q179" i="3"/>
  <c r="S179" i="3" s="1"/>
  <c r="P179" i="3"/>
  <c r="D179" i="3"/>
  <c r="C179" i="3"/>
  <c r="R178" i="3"/>
  <c r="Q178" i="3"/>
  <c r="S178" i="3" s="1"/>
  <c r="P178" i="3"/>
  <c r="D178" i="3"/>
  <c r="C178" i="3"/>
  <c r="R177" i="3"/>
  <c r="Q177" i="3"/>
  <c r="S177" i="3" s="1"/>
  <c r="P177" i="3"/>
  <c r="D177" i="3"/>
  <c r="C177" i="3"/>
  <c r="R176" i="3"/>
  <c r="Q176" i="3"/>
  <c r="S176" i="3" s="1"/>
  <c r="P176" i="3"/>
  <c r="D176" i="3"/>
  <c r="C176" i="3"/>
  <c r="R175" i="3"/>
  <c r="Q175" i="3"/>
  <c r="S175" i="3" s="1"/>
  <c r="P175" i="3"/>
  <c r="D175" i="3"/>
  <c r="C175" i="3"/>
  <c r="R174" i="3"/>
  <c r="Q174" i="3"/>
  <c r="S174" i="3" s="1"/>
  <c r="P174" i="3"/>
  <c r="D174" i="3"/>
  <c r="C174" i="3"/>
  <c r="R173" i="3"/>
  <c r="Q173" i="3"/>
  <c r="S173" i="3" s="1"/>
  <c r="P173" i="3"/>
  <c r="D173" i="3"/>
  <c r="C173" i="3"/>
  <c r="R172" i="3"/>
  <c r="Q172" i="3"/>
  <c r="S172" i="3" s="1"/>
  <c r="P172" i="3"/>
  <c r="O172" i="3"/>
  <c r="J172" i="3"/>
  <c r="K172" i="3" s="1"/>
  <c r="H172" i="3"/>
  <c r="D172" i="3"/>
  <c r="C172" i="3"/>
  <c r="D171" i="3"/>
  <c r="C171" i="3"/>
  <c r="D170" i="3"/>
  <c r="C170" i="3"/>
  <c r="R169" i="3"/>
  <c r="Q169" i="3"/>
  <c r="S169" i="3" s="1"/>
  <c r="P169" i="3"/>
  <c r="O169" i="3"/>
  <c r="D169" i="3"/>
  <c r="C169" i="3"/>
  <c r="R168" i="3"/>
  <c r="Q168" i="3"/>
  <c r="S168" i="3" s="1"/>
  <c r="P168" i="3"/>
  <c r="O168" i="3"/>
  <c r="J168" i="3"/>
  <c r="K168" i="3" s="1"/>
  <c r="H168" i="3"/>
  <c r="I168" i="3" s="1"/>
  <c r="D168" i="3"/>
  <c r="C168" i="3"/>
  <c r="R167" i="3"/>
  <c r="Q167" i="3"/>
  <c r="S167" i="3" s="1"/>
  <c r="P167" i="3"/>
  <c r="O167" i="3"/>
  <c r="O229" i="3" s="1"/>
  <c r="J167" i="3"/>
  <c r="J229" i="3" s="1"/>
  <c r="H167" i="3"/>
  <c r="D167" i="3"/>
  <c r="C167" i="3"/>
  <c r="U166" i="3"/>
  <c r="M166" i="3"/>
  <c r="L166" i="3"/>
  <c r="F166" i="3"/>
  <c r="D165" i="3"/>
  <c r="C165" i="3"/>
  <c r="D164" i="3"/>
  <c r="C164" i="3"/>
  <c r="D163" i="3"/>
  <c r="C163" i="3"/>
  <c r="D162" i="3"/>
  <c r="C162" i="3"/>
  <c r="D161" i="3"/>
  <c r="C161" i="3"/>
  <c r="D160" i="3"/>
  <c r="C160" i="3"/>
  <c r="D159" i="3"/>
  <c r="C159" i="3"/>
  <c r="D158" i="3"/>
  <c r="C158" i="3"/>
  <c r="D157" i="3"/>
  <c r="C157" i="3"/>
  <c r="D156" i="3"/>
  <c r="C156" i="3"/>
  <c r="D155" i="3"/>
  <c r="C155" i="3"/>
  <c r="D154" i="3"/>
  <c r="C154" i="3"/>
  <c r="D153" i="3"/>
  <c r="C153" i="3"/>
  <c r="D152" i="3"/>
  <c r="C152" i="3"/>
  <c r="D151" i="3"/>
  <c r="C151" i="3"/>
  <c r="D150" i="3"/>
  <c r="C150" i="3"/>
  <c r="D149" i="3"/>
  <c r="C149" i="3"/>
  <c r="D148" i="3"/>
  <c r="C148" i="3"/>
  <c r="D147" i="3"/>
  <c r="C147" i="3"/>
  <c r="D146" i="3"/>
  <c r="C146" i="3"/>
  <c r="D145" i="3"/>
  <c r="C145" i="3"/>
  <c r="D144" i="3"/>
  <c r="C144" i="3"/>
  <c r="D143" i="3"/>
  <c r="C143" i="3"/>
  <c r="D142" i="3"/>
  <c r="C142" i="3"/>
  <c r="D141" i="3"/>
  <c r="C141" i="3"/>
  <c r="D140" i="3"/>
  <c r="C140" i="3"/>
  <c r="D139" i="3"/>
  <c r="C139" i="3"/>
  <c r="D138" i="3"/>
  <c r="C138" i="3"/>
  <c r="D137" i="3"/>
  <c r="C137" i="3"/>
  <c r="D136" i="3"/>
  <c r="C136" i="3"/>
  <c r="D135" i="3"/>
  <c r="C135" i="3"/>
  <c r="R134" i="3"/>
  <c r="Q134" i="3"/>
  <c r="S134" i="3" s="1"/>
  <c r="P134" i="3"/>
  <c r="O134" i="3"/>
  <c r="D134" i="3"/>
  <c r="C134" i="3"/>
  <c r="D133" i="3"/>
  <c r="C133" i="3"/>
  <c r="R132" i="3"/>
  <c r="Q132" i="3"/>
  <c r="S132" i="3" s="1"/>
  <c r="P132" i="3"/>
  <c r="O132" i="3"/>
  <c r="J132" i="3"/>
  <c r="K132" i="3" s="1"/>
  <c r="H132" i="3"/>
  <c r="I132" i="3" s="1"/>
  <c r="D132" i="3"/>
  <c r="C132" i="3"/>
  <c r="R131" i="3"/>
  <c r="Q131" i="3"/>
  <c r="S131" i="3" s="1"/>
  <c r="P131" i="3"/>
  <c r="O131" i="3"/>
  <c r="D131" i="3"/>
  <c r="C131" i="3"/>
  <c r="R130" i="3"/>
  <c r="Q130" i="3"/>
  <c r="S130" i="3" s="1"/>
  <c r="P130" i="3"/>
  <c r="O130" i="3"/>
  <c r="J130" i="3"/>
  <c r="K130" i="3" s="1"/>
  <c r="H130" i="3"/>
  <c r="I130" i="3" s="1"/>
  <c r="D130" i="3"/>
  <c r="C130" i="3"/>
  <c r="R129" i="3"/>
  <c r="Q129" i="3"/>
  <c r="S129" i="3" s="1"/>
  <c r="P129" i="3"/>
  <c r="O129" i="3"/>
  <c r="J129" i="3"/>
  <c r="K129" i="3" s="1"/>
  <c r="H129" i="3"/>
  <c r="I129" i="3" s="1"/>
  <c r="D129" i="3"/>
  <c r="C129" i="3"/>
  <c r="R128" i="3"/>
  <c r="Q128" i="3"/>
  <c r="S128" i="3" s="1"/>
  <c r="P128" i="3"/>
  <c r="O128" i="3"/>
  <c r="J128" i="3"/>
  <c r="K128" i="3" s="1"/>
  <c r="H128" i="3"/>
  <c r="I128" i="3" s="1"/>
  <c r="D128" i="3"/>
  <c r="C128" i="3"/>
  <c r="R127" i="3"/>
  <c r="Q127" i="3"/>
  <c r="S127" i="3" s="1"/>
  <c r="P127" i="3"/>
  <c r="O127" i="3"/>
  <c r="J127" i="3"/>
  <c r="H127" i="3"/>
  <c r="I127" i="3" s="1"/>
  <c r="D127" i="3"/>
  <c r="C127" i="3"/>
  <c r="R126" i="3"/>
  <c r="Q126" i="3"/>
  <c r="S126" i="3" s="1"/>
  <c r="P126" i="3"/>
  <c r="O126" i="3"/>
  <c r="J126" i="3"/>
  <c r="K126" i="3" s="1"/>
  <c r="H126" i="3"/>
  <c r="I126" i="3" s="1"/>
  <c r="D126" i="3"/>
  <c r="C126" i="3"/>
  <c r="R125" i="3"/>
  <c r="Q125" i="3"/>
  <c r="S125" i="3" s="1"/>
  <c r="P125" i="3"/>
  <c r="O125" i="3"/>
  <c r="N125" i="3"/>
  <c r="N166" i="3" s="1"/>
  <c r="J125" i="3"/>
  <c r="K125" i="3" s="1"/>
  <c r="H125" i="3"/>
  <c r="I125" i="3" s="1"/>
  <c r="D125" i="3"/>
  <c r="C125" i="3"/>
  <c r="R124" i="3"/>
  <c r="Q124" i="3"/>
  <c r="S124" i="3" s="1"/>
  <c r="P124" i="3"/>
  <c r="O124" i="3"/>
  <c r="J124" i="3"/>
  <c r="K124" i="3" s="1"/>
  <c r="H124" i="3"/>
  <c r="I124" i="3" s="1"/>
  <c r="D124" i="3"/>
  <c r="C124" i="3"/>
  <c r="R123" i="3"/>
  <c r="Q123" i="3"/>
  <c r="S123" i="3" s="1"/>
  <c r="P123" i="3"/>
  <c r="O123" i="3"/>
  <c r="O166" i="3" s="1"/>
  <c r="J123" i="3"/>
  <c r="K123" i="3" s="1"/>
  <c r="H123" i="3"/>
  <c r="I123" i="3" s="1"/>
  <c r="D123" i="3"/>
  <c r="C123" i="3"/>
  <c r="R122" i="3"/>
  <c r="Q122" i="3"/>
  <c r="S122" i="3" s="1"/>
  <c r="P122" i="3"/>
  <c r="J122" i="3"/>
  <c r="G122" i="3"/>
  <c r="H122" i="3" s="1"/>
  <c r="I122" i="3" s="1"/>
  <c r="D122" i="3"/>
  <c r="C122" i="3"/>
  <c r="R121" i="3"/>
  <c r="Q121" i="3"/>
  <c r="P121" i="3"/>
  <c r="K121" i="3"/>
  <c r="H121" i="3"/>
  <c r="D121" i="3"/>
  <c r="C121" i="3"/>
  <c r="D120" i="3"/>
  <c r="C120" i="3"/>
  <c r="D119" i="3"/>
  <c r="C119" i="3"/>
  <c r="U118" i="3"/>
  <c r="D117" i="3"/>
  <c r="C117" i="3"/>
  <c r="R116" i="3"/>
  <c r="R118" i="3" s="1"/>
  <c r="Q116" i="3"/>
  <c r="P116" i="3"/>
  <c r="P118" i="3" s="1"/>
  <c r="D116" i="3"/>
  <c r="C116" i="3"/>
  <c r="U115" i="3"/>
  <c r="N115" i="3"/>
  <c r="M115" i="3"/>
  <c r="L115" i="3"/>
  <c r="F115" i="3"/>
  <c r="D114" i="3"/>
  <c r="C114" i="3"/>
  <c r="R113" i="3"/>
  <c r="Q113" i="3"/>
  <c r="S113" i="3" s="1"/>
  <c r="P113" i="3"/>
  <c r="D113" i="3"/>
  <c r="C113" i="3"/>
  <c r="R112" i="3"/>
  <c r="Q112" i="3"/>
  <c r="S112" i="3" s="1"/>
  <c r="P112" i="3"/>
  <c r="D112" i="3"/>
  <c r="C112" i="3"/>
  <c r="R111" i="3"/>
  <c r="Q111" i="3"/>
  <c r="S111" i="3" s="1"/>
  <c r="P111" i="3"/>
  <c r="D111" i="3"/>
  <c r="C111" i="3"/>
  <c r="D110" i="3"/>
  <c r="C110" i="3"/>
  <c r="R109" i="3"/>
  <c r="Q109" i="3"/>
  <c r="S109" i="3" s="1"/>
  <c r="P109" i="3"/>
  <c r="D109" i="3"/>
  <c r="C109" i="3"/>
  <c r="D108" i="3"/>
  <c r="C108" i="3"/>
  <c r="R107" i="3"/>
  <c r="Q107" i="3"/>
  <c r="S107" i="3" s="1"/>
  <c r="P107" i="3"/>
  <c r="O107" i="3"/>
  <c r="J107" i="3"/>
  <c r="K107" i="3" s="1"/>
  <c r="H107" i="3"/>
  <c r="I107" i="3" s="1"/>
  <c r="D107" i="3"/>
  <c r="C107" i="3"/>
  <c r="R106" i="3"/>
  <c r="Q106" i="3"/>
  <c r="S106" i="3" s="1"/>
  <c r="P106" i="3"/>
  <c r="D106" i="3"/>
  <c r="C106" i="3"/>
  <c r="R105" i="3"/>
  <c r="Q105" i="3"/>
  <c r="S105" i="3" s="1"/>
  <c r="P105" i="3"/>
  <c r="D105" i="3"/>
  <c r="C105" i="3"/>
  <c r="Q104" i="3"/>
  <c r="S104" i="3" s="1"/>
  <c r="P104" i="3"/>
  <c r="O104" i="3"/>
  <c r="J104" i="3"/>
  <c r="K104" i="3" s="1"/>
  <c r="H104" i="3"/>
  <c r="I104" i="3" s="1"/>
  <c r="D104" i="3"/>
  <c r="C104" i="3"/>
  <c r="D103" i="3"/>
  <c r="C103" i="3"/>
  <c r="D102" i="3"/>
  <c r="C102" i="3"/>
  <c r="D101" i="3"/>
  <c r="C101" i="3"/>
  <c r="R100" i="3"/>
  <c r="Q100" i="3"/>
  <c r="S100" i="3" s="1"/>
  <c r="P100" i="3"/>
  <c r="O100" i="3"/>
  <c r="O115" i="3" s="1"/>
  <c r="D100" i="3"/>
  <c r="C100" i="3"/>
  <c r="R99" i="3"/>
  <c r="Q99" i="3"/>
  <c r="S99" i="3" s="1"/>
  <c r="P99" i="3"/>
  <c r="J99" i="3"/>
  <c r="G99" i="3"/>
  <c r="G115" i="3" s="1"/>
  <c r="D99" i="3"/>
  <c r="C99" i="3"/>
  <c r="R98" i="3"/>
  <c r="Q98" i="3"/>
  <c r="S98" i="3" s="1"/>
  <c r="P98" i="3"/>
  <c r="D98" i="3"/>
  <c r="C98" i="3"/>
  <c r="R97" i="3"/>
  <c r="Q97" i="3"/>
  <c r="S97" i="3" s="1"/>
  <c r="P97" i="3"/>
  <c r="D97" i="3"/>
  <c r="C97" i="3"/>
  <c r="R96" i="3"/>
  <c r="Q96" i="3"/>
  <c r="S96" i="3" s="1"/>
  <c r="P96" i="3"/>
  <c r="D96" i="3"/>
  <c r="C96" i="3"/>
  <c r="R95" i="3"/>
  <c r="Q95" i="3"/>
  <c r="S95" i="3" s="1"/>
  <c r="P95" i="3"/>
  <c r="O95" i="3"/>
  <c r="J95" i="3"/>
  <c r="K95" i="3" s="1"/>
  <c r="H95" i="3"/>
  <c r="I95" i="3" s="1"/>
  <c r="D95" i="3"/>
  <c r="C95" i="3"/>
  <c r="R90" i="3"/>
  <c r="Q90" i="3"/>
  <c r="S90" i="3" s="1"/>
  <c r="P90" i="3"/>
  <c r="O90" i="3"/>
  <c r="J90" i="3"/>
  <c r="K90" i="3" s="1"/>
  <c r="G90" i="3"/>
  <c r="H90" i="3" s="1"/>
  <c r="D90" i="3"/>
  <c r="C90" i="3"/>
  <c r="D89" i="3"/>
  <c r="C89" i="3"/>
  <c r="D88" i="3"/>
  <c r="C88" i="3"/>
  <c r="D87" i="3"/>
  <c r="C87" i="3"/>
  <c r="D86" i="3"/>
  <c r="C86" i="3"/>
  <c r="D85" i="3"/>
  <c r="C85" i="3"/>
  <c r="D84" i="3"/>
  <c r="C84" i="3"/>
  <c r="Q83" i="3"/>
  <c r="S83" i="3" s="1"/>
  <c r="P83" i="3"/>
  <c r="O83" i="3"/>
  <c r="K83" i="3"/>
  <c r="I83" i="3"/>
  <c r="D83" i="3"/>
  <c r="C83" i="3"/>
  <c r="R82" i="3"/>
  <c r="Q82" i="3"/>
  <c r="S82" i="3" s="1"/>
  <c r="P82" i="3"/>
  <c r="O82" i="3"/>
  <c r="J82" i="3"/>
  <c r="D82" i="3"/>
  <c r="C82" i="3"/>
  <c r="R81" i="3"/>
  <c r="Q81" i="3"/>
  <c r="S81" i="3" s="1"/>
  <c r="P81" i="3"/>
  <c r="O81" i="3"/>
  <c r="J81" i="3"/>
  <c r="K81" i="3" s="1"/>
  <c r="D81" i="3"/>
  <c r="C81" i="3"/>
  <c r="R80" i="3"/>
  <c r="Q80" i="3"/>
  <c r="S80" i="3" s="1"/>
  <c r="P80" i="3"/>
  <c r="O80" i="3"/>
  <c r="J80" i="3"/>
  <c r="K80" i="3" s="1"/>
  <c r="H80" i="3"/>
  <c r="D80" i="3"/>
  <c r="C80" i="3"/>
  <c r="Q79" i="3"/>
  <c r="S79" i="3" s="1"/>
  <c r="P79" i="3"/>
  <c r="J79" i="3"/>
  <c r="K79" i="3" s="1"/>
  <c r="H79" i="3"/>
  <c r="I79" i="3" s="1"/>
  <c r="D79" i="3"/>
  <c r="C79" i="3"/>
  <c r="R78" i="3"/>
  <c r="Q78" i="3"/>
  <c r="P78" i="3"/>
  <c r="O78" i="3"/>
  <c r="J78" i="3"/>
  <c r="K78" i="3" s="1"/>
  <c r="H78" i="3"/>
  <c r="I78" i="3" s="1"/>
  <c r="D78" i="3"/>
  <c r="C78" i="3"/>
  <c r="U77" i="3"/>
  <c r="R76" i="3"/>
  <c r="Q76" i="3"/>
  <c r="S76" i="3" s="1"/>
  <c r="P76" i="3"/>
  <c r="O76" i="3"/>
  <c r="J76" i="3"/>
  <c r="K76" i="3" s="1"/>
  <c r="H76" i="3"/>
  <c r="I76" i="3" s="1"/>
  <c r="D76" i="3"/>
  <c r="C76" i="3"/>
  <c r="D75" i="3"/>
  <c r="C75" i="3"/>
  <c r="D74" i="3"/>
  <c r="C74" i="3"/>
  <c r="D73" i="3"/>
  <c r="C73" i="3"/>
  <c r="D72" i="3"/>
  <c r="C72" i="3"/>
  <c r="D71" i="3"/>
  <c r="C71" i="3"/>
  <c r="R70" i="3"/>
  <c r="Q70" i="3"/>
  <c r="S70" i="3" s="1"/>
  <c r="P70" i="3"/>
  <c r="O70" i="3"/>
  <c r="J70" i="3"/>
  <c r="K70" i="3" s="1"/>
  <c r="H70" i="3"/>
  <c r="I70" i="3" s="1"/>
  <c r="D70" i="3"/>
  <c r="C70" i="3"/>
  <c r="R69" i="3"/>
  <c r="Q69" i="3"/>
  <c r="S69" i="3" s="1"/>
  <c r="P69" i="3"/>
  <c r="J69" i="3"/>
  <c r="K69" i="3" s="1"/>
  <c r="G69" i="3"/>
  <c r="H69" i="3" s="1"/>
  <c r="D69" i="3"/>
  <c r="C69" i="3"/>
  <c r="R68" i="3"/>
  <c r="Q68" i="3"/>
  <c r="S68" i="3" s="1"/>
  <c r="P68" i="3"/>
  <c r="O68" i="3"/>
  <c r="J68" i="3"/>
  <c r="K68" i="3" s="1"/>
  <c r="H68" i="3"/>
  <c r="I68" i="3" s="1"/>
  <c r="D68" i="3"/>
  <c r="C68" i="3"/>
  <c r="S67" i="3"/>
  <c r="R67" i="3"/>
  <c r="Q67" i="3"/>
  <c r="P67" i="3"/>
  <c r="D66" i="3"/>
  <c r="C66" i="3"/>
  <c r="D65" i="3"/>
  <c r="C65" i="3"/>
  <c r="D64" i="3"/>
  <c r="C64" i="3"/>
  <c r="U63" i="3"/>
  <c r="U67" i="3" s="1"/>
  <c r="D63" i="3"/>
  <c r="C63" i="3"/>
  <c r="D62" i="3"/>
  <c r="C62" i="3"/>
  <c r="U60" i="3"/>
  <c r="O60" i="3"/>
  <c r="N60" i="3"/>
  <c r="M60" i="3"/>
  <c r="L60" i="3"/>
  <c r="K60" i="3"/>
  <c r="J60" i="3"/>
  <c r="I60" i="3"/>
  <c r="H60" i="3"/>
  <c r="G60" i="3"/>
  <c r="F60" i="3"/>
  <c r="R59" i="3"/>
  <c r="Q59" i="3"/>
  <c r="S59" i="3" s="1"/>
  <c r="P59" i="3"/>
  <c r="D59" i="3"/>
  <c r="C59" i="3"/>
  <c r="R58" i="3"/>
  <c r="Q58" i="3"/>
  <c r="S58" i="3" s="1"/>
  <c r="P58" i="3"/>
  <c r="D58" i="3"/>
  <c r="C58" i="3"/>
  <c r="R57" i="3"/>
  <c r="Q57" i="3"/>
  <c r="S57" i="3" s="1"/>
  <c r="P57" i="3"/>
  <c r="D57" i="3"/>
  <c r="C57" i="3"/>
  <c r="R56" i="3"/>
  <c r="Q56" i="3"/>
  <c r="S56" i="3" s="1"/>
  <c r="P56" i="3"/>
  <c r="D56" i="3"/>
  <c r="C56" i="3"/>
  <c r="R55" i="3"/>
  <c r="Q55" i="3"/>
  <c r="S55" i="3" s="1"/>
  <c r="P55" i="3"/>
  <c r="D55" i="3"/>
  <c r="C55" i="3"/>
  <c r="R54" i="3"/>
  <c r="Q54" i="3"/>
  <c r="S54" i="3" s="1"/>
  <c r="P54" i="3"/>
  <c r="D54" i="3"/>
  <c r="C54" i="3"/>
  <c r="Q53" i="3"/>
  <c r="S53" i="3" s="1"/>
  <c r="P53" i="3"/>
  <c r="D53" i="3"/>
  <c r="C53" i="3"/>
  <c r="R52" i="3"/>
  <c r="Q52" i="3"/>
  <c r="P52" i="3"/>
  <c r="R51" i="3"/>
  <c r="Q51" i="3"/>
  <c r="P51" i="3"/>
  <c r="D51" i="3"/>
  <c r="C51" i="3"/>
  <c r="R50" i="3"/>
  <c r="Q50" i="3"/>
  <c r="P50" i="3"/>
  <c r="R49" i="3"/>
  <c r="Q49" i="3"/>
  <c r="S49" i="3" s="1"/>
  <c r="P49" i="3"/>
  <c r="D49" i="3"/>
  <c r="C49" i="3"/>
  <c r="U45" i="3"/>
  <c r="O45" i="3"/>
  <c r="N45" i="3"/>
  <c r="M45" i="3"/>
  <c r="L45" i="3"/>
  <c r="K45" i="3"/>
  <c r="J45" i="3"/>
  <c r="I45" i="3"/>
  <c r="H45" i="3"/>
  <c r="G45" i="3"/>
  <c r="F45" i="3"/>
  <c r="R44" i="3"/>
  <c r="Q44" i="3"/>
  <c r="S44" i="3" s="1"/>
  <c r="P44" i="3"/>
  <c r="D44" i="3"/>
  <c r="C44" i="3"/>
  <c r="R43" i="3"/>
  <c r="Q43" i="3"/>
  <c r="P43" i="3"/>
  <c r="D43" i="3"/>
  <c r="C43" i="3"/>
  <c r="D42" i="3"/>
  <c r="C42" i="3"/>
  <c r="Q41" i="3"/>
  <c r="S41" i="3" s="1"/>
  <c r="P41" i="3"/>
  <c r="D41" i="3"/>
  <c r="C41" i="3"/>
  <c r="Q40" i="3"/>
  <c r="P40" i="3"/>
  <c r="J40" i="3"/>
  <c r="D40" i="3"/>
  <c r="C40" i="3"/>
  <c r="U38" i="3"/>
  <c r="U46" i="3" s="1"/>
  <c r="O38" i="3"/>
  <c r="N38" i="3"/>
  <c r="M38" i="3"/>
  <c r="L38" i="3"/>
  <c r="H38" i="3"/>
  <c r="G38" i="3"/>
  <c r="F38" i="3"/>
  <c r="R37" i="3"/>
  <c r="R38" i="3" s="1"/>
  <c r="Q37" i="3"/>
  <c r="Q38" i="3" s="1"/>
  <c r="P37" i="3"/>
  <c r="P38" i="3" s="1"/>
  <c r="J37" i="3"/>
  <c r="K37" i="3" s="1"/>
  <c r="K38" i="3" s="1"/>
  <c r="I37" i="3"/>
  <c r="I38" i="3" s="1"/>
  <c r="D37" i="3"/>
  <c r="C37" i="3"/>
  <c r="U34" i="3"/>
  <c r="O34" i="3"/>
  <c r="N34" i="3"/>
  <c r="M34" i="3"/>
  <c r="L34" i="3"/>
  <c r="K34" i="3"/>
  <c r="J34" i="3"/>
  <c r="I34" i="3"/>
  <c r="H34" i="3"/>
  <c r="G34" i="3"/>
  <c r="F34" i="3"/>
  <c r="R33" i="3"/>
  <c r="Q33" i="3"/>
  <c r="S33" i="3" s="1"/>
  <c r="P33" i="3"/>
  <c r="D33" i="3"/>
  <c r="C33" i="3"/>
  <c r="R32" i="3"/>
  <c r="Q32" i="3"/>
  <c r="S32" i="3" s="1"/>
  <c r="P32" i="3"/>
  <c r="D32" i="3"/>
  <c r="C32" i="3"/>
  <c r="R31" i="3"/>
  <c r="Q31" i="3"/>
  <c r="S31" i="3" s="1"/>
  <c r="P31" i="3"/>
  <c r="D31" i="3"/>
  <c r="C31" i="3"/>
  <c r="R30" i="3"/>
  <c r="Q30" i="3"/>
  <c r="P30" i="3"/>
  <c r="R29" i="3"/>
  <c r="Q29" i="3"/>
  <c r="S29" i="3" s="1"/>
  <c r="P29" i="3"/>
  <c r="D29" i="3"/>
  <c r="C29" i="3"/>
  <c r="R28" i="3"/>
  <c r="Q28" i="3"/>
  <c r="P28" i="3"/>
  <c r="R27" i="3"/>
  <c r="Q27" i="3"/>
  <c r="P27" i="3"/>
  <c r="Q26" i="3"/>
  <c r="S26" i="3" s="1"/>
  <c r="P26" i="3"/>
  <c r="D26" i="3"/>
  <c r="C26" i="3"/>
  <c r="R25" i="3"/>
  <c r="Q25" i="3"/>
  <c r="S25" i="3" s="1"/>
  <c r="P25" i="3"/>
  <c r="D25" i="3"/>
  <c r="C25" i="3"/>
  <c r="R24" i="3"/>
  <c r="Q24" i="3"/>
  <c r="S24" i="3" s="1"/>
  <c r="P24" i="3"/>
  <c r="D24" i="3"/>
  <c r="C24" i="3"/>
  <c r="R23" i="3"/>
  <c r="Q23" i="3"/>
  <c r="S23" i="3" s="1"/>
  <c r="P23" i="3"/>
  <c r="D23" i="3"/>
  <c r="C23" i="3"/>
  <c r="Q22" i="3"/>
  <c r="S22" i="3" s="1"/>
  <c r="P22" i="3"/>
  <c r="D22" i="3"/>
  <c r="C22" i="3"/>
  <c r="Q20" i="3"/>
  <c r="S20" i="3" s="1"/>
  <c r="D20" i="3"/>
  <c r="C20" i="3"/>
  <c r="R19" i="3"/>
  <c r="Q19" i="3"/>
  <c r="S19" i="3" s="1"/>
  <c r="P19" i="3"/>
  <c r="D19" i="3"/>
  <c r="C19" i="3"/>
  <c r="R18" i="3"/>
  <c r="Q18" i="3"/>
  <c r="S18" i="3" s="1"/>
  <c r="P18" i="3"/>
  <c r="D18" i="3"/>
  <c r="C18" i="3"/>
  <c r="R17" i="3"/>
  <c r="Q17" i="3"/>
  <c r="S17" i="3" s="1"/>
  <c r="P17" i="3"/>
  <c r="D17" i="3"/>
  <c r="C17" i="3"/>
  <c r="U16" i="3"/>
  <c r="O16" i="3"/>
  <c r="N16" i="3"/>
  <c r="M16" i="3"/>
  <c r="L16" i="3"/>
  <c r="I16" i="3"/>
  <c r="G16" i="3"/>
  <c r="F16" i="3"/>
  <c r="R15" i="3"/>
  <c r="Q15" i="3"/>
  <c r="S15" i="3" s="1"/>
  <c r="P15" i="3"/>
  <c r="D15" i="3"/>
  <c r="C15" i="3"/>
  <c r="R14" i="3"/>
  <c r="Q14" i="3"/>
  <c r="S14" i="3" s="1"/>
  <c r="P14" i="3"/>
  <c r="D14" i="3"/>
  <c r="C14" i="3"/>
  <c r="R13" i="3"/>
  <c r="Q13" i="3"/>
  <c r="S13" i="3" s="1"/>
  <c r="P13" i="3"/>
  <c r="D13" i="3"/>
  <c r="C13" i="3"/>
  <c r="R12" i="3"/>
  <c r="Q12" i="3"/>
  <c r="S12" i="3" s="1"/>
  <c r="D12" i="3"/>
  <c r="C12" i="3"/>
  <c r="R11" i="3"/>
  <c r="Q11" i="3"/>
  <c r="S11" i="3" s="1"/>
  <c r="D11" i="3"/>
  <c r="C11" i="3"/>
  <c r="R10" i="3"/>
  <c r="Q10" i="3"/>
  <c r="S10" i="3" s="1"/>
  <c r="D10" i="3"/>
  <c r="C10" i="3"/>
  <c r="R9" i="3"/>
  <c r="Q9" i="3"/>
  <c r="S9" i="3" s="1"/>
  <c r="D9" i="3"/>
  <c r="C9" i="3"/>
  <c r="R8" i="3"/>
  <c r="Q8" i="3"/>
  <c r="S8" i="3" s="1"/>
  <c r="D8" i="3"/>
  <c r="C8" i="3"/>
  <c r="R7" i="3"/>
  <c r="Q7" i="3"/>
  <c r="S7" i="3" s="1"/>
  <c r="D7" i="3"/>
  <c r="C7" i="3"/>
  <c r="R6" i="3"/>
  <c r="Q6" i="3"/>
  <c r="S6" i="3" s="1"/>
  <c r="D6" i="3"/>
  <c r="C6" i="3"/>
  <c r="R5" i="3"/>
  <c r="Q5" i="3"/>
  <c r="S5" i="3" s="1"/>
  <c r="P5" i="3"/>
  <c r="J5" i="3"/>
  <c r="K5" i="3" s="1"/>
  <c r="D5" i="3"/>
  <c r="C5" i="3"/>
  <c r="R4" i="3"/>
  <c r="Q4" i="3"/>
  <c r="P4" i="3"/>
  <c r="J4" i="3"/>
  <c r="H4" i="3"/>
  <c r="H5" i="3" s="1"/>
  <c r="H16" i="3" s="1"/>
  <c r="D4" i="3"/>
  <c r="C4" i="3"/>
  <c r="I406" i="2"/>
  <c r="I405" i="2"/>
  <c r="I404" i="2"/>
  <c r="H401" i="2"/>
  <c r="Y399" i="2"/>
  <c r="Y398" i="2"/>
  <c r="Y397" i="2"/>
  <c r="V397" i="2"/>
  <c r="U397" i="2"/>
  <c r="T397" i="2"/>
  <c r="O397" i="2"/>
  <c r="N397" i="2"/>
  <c r="M397" i="2"/>
  <c r="L397" i="2"/>
  <c r="K397" i="2"/>
  <c r="J397" i="2"/>
  <c r="I397" i="2"/>
  <c r="H397" i="2"/>
  <c r="G397" i="2"/>
  <c r="F397" i="2"/>
  <c r="D396" i="2"/>
  <c r="C396" i="2"/>
  <c r="D395" i="2"/>
  <c r="C395" i="2"/>
  <c r="R394" i="2"/>
  <c r="Q394" i="2"/>
  <c r="S394" i="2" s="1"/>
  <c r="P394" i="2"/>
  <c r="D394" i="2"/>
  <c r="C394" i="2"/>
  <c r="R393" i="2"/>
  <c r="Q393" i="2"/>
  <c r="S393" i="2" s="1"/>
  <c r="P393" i="2"/>
  <c r="AG393" i="2" s="1"/>
  <c r="D393" i="2"/>
  <c r="C393" i="2"/>
  <c r="R392" i="2"/>
  <c r="Q392" i="2"/>
  <c r="S392" i="2" s="1"/>
  <c r="P392" i="2"/>
  <c r="D392" i="2"/>
  <c r="C392" i="2"/>
  <c r="Q391" i="2"/>
  <c r="AG391" i="2" s="1"/>
  <c r="P391" i="2"/>
  <c r="D391" i="2"/>
  <c r="C391" i="2"/>
  <c r="R390" i="2"/>
  <c r="Q390" i="2"/>
  <c r="S390" i="2" s="1"/>
  <c r="P390" i="2"/>
  <c r="D390" i="2"/>
  <c r="C390" i="2"/>
  <c r="R389" i="2"/>
  <c r="Q389" i="2"/>
  <c r="S389" i="2" s="1"/>
  <c r="P389" i="2"/>
  <c r="D389" i="2"/>
  <c r="C389" i="2"/>
  <c r="S388" i="2"/>
  <c r="R388" i="2"/>
  <c r="Q388" i="2"/>
  <c r="P388" i="2"/>
  <c r="D388" i="2"/>
  <c r="C388" i="2"/>
  <c r="R387" i="2"/>
  <c r="Q387" i="2"/>
  <c r="S387" i="2" s="1"/>
  <c r="P387" i="2"/>
  <c r="AG387" i="2" s="1"/>
  <c r="D387" i="2"/>
  <c r="C387" i="2"/>
  <c r="R386" i="2"/>
  <c r="Q386" i="2"/>
  <c r="S386" i="2" s="1"/>
  <c r="P386" i="2"/>
  <c r="D386" i="2"/>
  <c r="C386" i="2"/>
  <c r="S385" i="2"/>
  <c r="R385" i="2"/>
  <c r="Q385" i="2"/>
  <c r="P385" i="2"/>
  <c r="D385" i="2"/>
  <c r="C385" i="2"/>
  <c r="R384" i="2"/>
  <c r="Q384" i="2"/>
  <c r="S384" i="2" s="1"/>
  <c r="P384" i="2"/>
  <c r="AG384" i="2" s="1"/>
  <c r="D384" i="2"/>
  <c r="C384" i="2"/>
  <c r="R383" i="2"/>
  <c r="Q383" i="2"/>
  <c r="S383" i="2" s="1"/>
  <c r="P383" i="2"/>
  <c r="D383" i="2"/>
  <c r="C383" i="2"/>
  <c r="R382" i="2"/>
  <c r="Q382" i="2"/>
  <c r="S382" i="2" s="1"/>
  <c r="P382" i="2"/>
  <c r="D382" i="2"/>
  <c r="C382" i="2"/>
  <c r="R381" i="2"/>
  <c r="Q381" i="2"/>
  <c r="S381" i="2" s="1"/>
  <c r="P381" i="2"/>
  <c r="AG381" i="2" s="1"/>
  <c r="D381" i="2"/>
  <c r="C381" i="2"/>
  <c r="S380" i="2"/>
  <c r="R380" i="2"/>
  <c r="Q380" i="2"/>
  <c r="P380" i="2"/>
  <c r="D380" i="2"/>
  <c r="C380" i="2"/>
  <c r="Q379" i="2"/>
  <c r="S379" i="2" s="1"/>
  <c r="P379" i="2"/>
  <c r="D379" i="2"/>
  <c r="C379" i="2"/>
  <c r="Q378" i="2"/>
  <c r="S378" i="2" s="1"/>
  <c r="P378" i="2"/>
  <c r="D378" i="2"/>
  <c r="C378" i="2"/>
  <c r="R377" i="2"/>
  <c r="Q377" i="2"/>
  <c r="S377" i="2" s="1"/>
  <c r="P377" i="2"/>
  <c r="AG377" i="2" s="1"/>
  <c r="D377" i="2"/>
  <c r="C377" i="2"/>
  <c r="R376" i="2"/>
  <c r="Q376" i="2"/>
  <c r="S376" i="2" s="1"/>
  <c r="P376" i="2"/>
  <c r="D376" i="2"/>
  <c r="C376" i="2"/>
  <c r="S375" i="2"/>
  <c r="R375" i="2"/>
  <c r="Q375" i="2"/>
  <c r="P375" i="2"/>
  <c r="AG375" i="2" s="1"/>
  <c r="D375" i="2"/>
  <c r="C375" i="2"/>
  <c r="R374" i="2"/>
  <c r="Q374" i="2"/>
  <c r="S374" i="2" s="1"/>
  <c r="P374" i="2"/>
  <c r="AG374" i="2" s="1"/>
  <c r="D374" i="2"/>
  <c r="C374" i="2"/>
  <c r="S373" i="2"/>
  <c r="R373" i="2"/>
  <c r="Q373" i="2"/>
  <c r="P373" i="2"/>
  <c r="D373" i="2"/>
  <c r="C373" i="2"/>
  <c r="R372" i="2"/>
  <c r="Q372" i="2"/>
  <c r="S372" i="2" s="1"/>
  <c r="P372" i="2"/>
  <c r="D372" i="2"/>
  <c r="C372" i="2"/>
  <c r="R371" i="2"/>
  <c r="Q371" i="2"/>
  <c r="S371" i="2" s="1"/>
  <c r="P371" i="2"/>
  <c r="D371" i="2"/>
  <c r="C371" i="2"/>
  <c r="S370" i="2"/>
  <c r="R370" i="2"/>
  <c r="Q370" i="2"/>
  <c r="P370" i="2"/>
  <c r="D370" i="2"/>
  <c r="C370" i="2"/>
  <c r="R369" i="2"/>
  <c r="Q369" i="2"/>
  <c r="S369" i="2" s="1"/>
  <c r="P369" i="2"/>
  <c r="D369" i="2"/>
  <c r="C369" i="2"/>
  <c r="R368" i="2"/>
  <c r="Q368" i="2"/>
  <c r="S368" i="2" s="1"/>
  <c r="P368" i="2"/>
  <c r="D368" i="2"/>
  <c r="C368" i="2"/>
  <c r="R367" i="2"/>
  <c r="Q367" i="2"/>
  <c r="S367" i="2" s="1"/>
  <c r="P367" i="2"/>
  <c r="AG367" i="2" s="1"/>
  <c r="D367" i="2"/>
  <c r="C367" i="2"/>
  <c r="R366" i="2"/>
  <c r="Q366" i="2"/>
  <c r="P366" i="2"/>
  <c r="D366" i="2"/>
  <c r="C366" i="2"/>
  <c r="AG365" i="2"/>
  <c r="Z365" i="2"/>
  <c r="Y365" i="2"/>
  <c r="Y364" i="2"/>
  <c r="V364" i="2"/>
  <c r="U364" i="2"/>
  <c r="T364" i="2"/>
  <c r="O364" i="2"/>
  <c r="N364" i="2"/>
  <c r="M364" i="2"/>
  <c r="L364" i="2"/>
  <c r="K364" i="2"/>
  <c r="J364" i="2"/>
  <c r="I364" i="2"/>
  <c r="H364" i="2"/>
  <c r="G364" i="2"/>
  <c r="F364" i="2"/>
  <c r="R363" i="2"/>
  <c r="Q363" i="2"/>
  <c r="S363" i="2" s="1"/>
  <c r="P363" i="2"/>
  <c r="AG363" i="2" s="1"/>
  <c r="D363" i="2"/>
  <c r="C363" i="2"/>
  <c r="R362" i="2"/>
  <c r="Q362" i="2"/>
  <c r="S362" i="2" s="1"/>
  <c r="P362" i="2"/>
  <c r="D362" i="2"/>
  <c r="C362" i="2"/>
  <c r="S361" i="2"/>
  <c r="R361" i="2"/>
  <c r="Q361" i="2"/>
  <c r="P361" i="2"/>
  <c r="AG361" i="2" s="1"/>
  <c r="D361" i="2"/>
  <c r="C361" i="2"/>
  <c r="R360" i="2"/>
  <c r="Q360" i="2"/>
  <c r="S360" i="2" s="1"/>
  <c r="P360" i="2"/>
  <c r="AG360" i="2" s="1"/>
  <c r="D360" i="2"/>
  <c r="C360" i="2"/>
  <c r="R359" i="2"/>
  <c r="Q359" i="2"/>
  <c r="Q364" i="2" s="1"/>
  <c r="P359" i="2"/>
  <c r="D359" i="2"/>
  <c r="C359" i="2"/>
  <c r="AG358" i="2"/>
  <c r="Z358" i="2"/>
  <c r="Y358" i="2"/>
  <c r="Y357" i="2"/>
  <c r="Y356" i="2"/>
  <c r="V356" i="2"/>
  <c r="U356" i="2"/>
  <c r="T356" i="2"/>
  <c r="O356" i="2"/>
  <c r="N356" i="2"/>
  <c r="M356" i="2"/>
  <c r="L356" i="2"/>
  <c r="K356" i="2"/>
  <c r="J356" i="2"/>
  <c r="I356" i="2"/>
  <c r="H356" i="2"/>
  <c r="G356" i="2"/>
  <c r="F356" i="2"/>
  <c r="R355" i="2"/>
  <c r="Q355" i="2"/>
  <c r="S355" i="2" s="1"/>
  <c r="P355" i="2"/>
  <c r="AG355" i="2" s="1"/>
  <c r="D355" i="2"/>
  <c r="C355" i="2"/>
  <c r="S354" i="2"/>
  <c r="R354" i="2"/>
  <c r="Q354" i="2"/>
  <c r="P354" i="2"/>
  <c r="D354" i="2"/>
  <c r="C354" i="2"/>
  <c r="R353" i="2"/>
  <c r="Q353" i="2"/>
  <c r="S353" i="2" s="1"/>
  <c r="P353" i="2"/>
  <c r="D353" i="2"/>
  <c r="C353" i="2"/>
  <c r="R352" i="2"/>
  <c r="Q352" i="2"/>
  <c r="S352" i="2" s="1"/>
  <c r="P352" i="2"/>
  <c r="D352" i="2"/>
  <c r="C352" i="2"/>
  <c r="R351" i="2"/>
  <c r="Q351" i="2"/>
  <c r="S351" i="2" s="1"/>
  <c r="P351" i="2"/>
  <c r="D351" i="2"/>
  <c r="C351" i="2"/>
  <c r="R350" i="2"/>
  <c r="Q350" i="2"/>
  <c r="S350" i="2" s="1"/>
  <c r="P350" i="2"/>
  <c r="AG350" i="2" s="1"/>
  <c r="D350" i="2"/>
  <c r="C350" i="2"/>
  <c r="S349" i="2"/>
  <c r="R349" i="2"/>
  <c r="Q349" i="2"/>
  <c r="P349" i="2"/>
  <c r="D349" i="2"/>
  <c r="C349" i="2"/>
  <c r="R348" i="2"/>
  <c r="Q348" i="2"/>
  <c r="P348" i="2"/>
  <c r="D348" i="2"/>
  <c r="C348" i="2"/>
  <c r="Y347" i="2"/>
  <c r="V347" i="2"/>
  <c r="U347" i="2"/>
  <c r="T347" i="2"/>
  <c r="O347" i="2"/>
  <c r="N347" i="2"/>
  <c r="M347" i="2"/>
  <c r="L347" i="2"/>
  <c r="K347" i="2"/>
  <c r="J347" i="2"/>
  <c r="I347" i="2"/>
  <c r="H347" i="2"/>
  <c r="G347" i="2"/>
  <c r="F347" i="2"/>
  <c r="S346" i="2"/>
  <c r="R346" i="2"/>
  <c r="Q346" i="2"/>
  <c r="P346" i="2"/>
  <c r="AG346" i="2" s="1"/>
  <c r="D346" i="2"/>
  <c r="C346" i="2"/>
  <c r="R345" i="2"/>
  <c r="Q345" i="2"/>
  <c r="S345" i="2" s="1"/>
  <c r="P345" i="2"/>
  <c r="D345" i="2"/>
  <c r="C345" i="2"/>
  <c r="R344" i="2"/>
  <c r="Q344" i="2"/>
  <c r="S344" i="2" s="1"/>
  <c r="P344" i="2"/>
  <c r="D344" i="2"/>
  <c r="C344" i="2"/>
  <c r="R343" i="2"/>
  <c r="Q343" i="2"/>
  <c r="S343" i="2" s="1"/>
  <c r="P343" i="2"/>
  <c r="AG343" i="2" s="1"/>
  <c r="D343" i="2"/>
  <c r="C343" i="2"/>
  <c r="R342" i="2"/>
  <c r="Q342" i="2"/>
  <c r="S342" i="2" s="1"/>
  <c r="P342" i="2"/>
  <c r="D342" i="2"/>
  <c r="C342" i="2"/>
  <c r="S341" i="2"/>
  <c r="R341" i="2"/>
  <c r="Q341" i="2"/>
  <c r="P341" i="2"/>
  <c r="AG341" i="2" s="1"/>
  <c r="D341" i="2"/>
  <c r="C341" i="2"/>
  <c r="R340" i="2"/>
  <c r="Q340" i="2"/>
  <c r="S340" i="2" s="1"/>
  <c r="P340" i="2"/>
  <c r="AG340" i="2" s="1"/>
  <c r="D340" i="2"/>
  <c r="C340" i="2"/>
  <c r="Y339" i="2"/>
  <c r="U339" i="2"/>
  <c r="T339" i="2"/>
  <c r="O339" i="2"/>
  <c r="N339" i="2"/>
  <c r="M339" i="2"/>
  <c r="L339" i="2"/>
  <c r="K339" i="2"/>
  <c r="J339" i="2"/>
  <c r="I339" i="2"/>
  <c r="H339" i="2"/>
  <c r="G339" i="2"/>
  <c r="F339" i="2"/>
  <c r="S338" i="2"/>
  <c r="R338" i="2"/>
  <c r="Q338" i="2"/>
  <c r="P338" i="2"/>
  <c r="AG338" i="2" s="1"/>
  <c r="D338" i="2"/>
  <c r="C338" i="2"/>
  <c r="R337" i="2"/>
  <c r="Q337" i="2"/>
  <c r="S337" i="2" s="1"/>
  <c r="P337" i="2"/>
  <c r="D337" i="2"/>
  <c r="C337" i="2"/>
  <c r="R336" i="2"/>
  <c r="Q336" i="2"/>
  <c r="S336" i="2" s="1"/>
  <c r="P336" i="2"/>
  <c r="D336" i="2"/>
  <c r="C336" i="2"/>
  <c r="R335" i="2"/>
  <c r="Q335" i="2"/>
  <c r="S335" i="2" s="1"/>
  <c r="P335" i="2"/>
  <c r="AG335" i="2" s="1"/>
  <c r="D335" i="2"/>
  <c r="C335" i="2"/>
  <c r="V334" i="2"/>
  <c r="V339" i="2" s="1"/>
  <c r="S334" i="2"/>
  <c r="R334" i="2"/>
  <c r="Q334" i="2"/>
  <c r="P334" i="2"/>
  <c r="D334" i="2"/>
  <c r="C334" i="2"/>
  <c r="Y333" i="2"/>
  <c r="V333" i="2"/>
  <c r="U333" i="2"/>
  <c r="T333" i="2"/>
  <c r="O333" i="2"/>
  <c r="N333" i="2"/>
  <c r="M333" i="2"/>
  <c r="L333" i="2"/>
  <c r="K333" i="2"/>
  <c r="J333" i="2"/>
  <c r="I333" i="2"/>
  <c r="H333" i="2"/>
  <c r="G333" i="2"/>
  <c r="F333" i="2"/>
  <c r="E333" i="2"/>
  <c r="S332" i="2"/>
  <c r="R332" i="2"/>
  <c r="Q332" i="2"/>
  <c r="P332" i="2"/>
  <c r="AG332" i="2" s="1"/>
  <c r="D332" i="2"/>
  <c r="C332" i="2"/>
  <c r="R331" i="2"/>
  <c r="Q331" i="2"/>
  <c r="S331" i="2" s="1"/>
  <c r="P331" i="2"/>
  <c r="D331" i="2"/>
  <c r="C331" i="2"/>
  <c r="R330" i="2"/>
  <c r="Q330" i="2"/>
  <c r="S330" i="2" s="1"/>
  <c r="P330" i="2"/>
  <c r="D330" i="2"/>
  <c r="C330" i="2"/>
  <c r="S329" i="2"/>
  <c r="R329" i="2"/>
  <c r="Q329" i="2"/>
  <c r="P329" i="2"/>
  <c r="AG329" i="2" s="1"/>
  <c r="D329" i="2"/>
  <c r="C329" i="2"/>
  <c r="Q328" i="2"/>
  <c r="P328" i="2"/>
  <c r="P333" i="2" s="1"/>
  <c r="D328" i="2"/>
  <c r="C328" i="2"/>
  <c r="Y327" i="2"/>
  <c r="V327" i="2"/>
  <c r="U327" i="2"/>
  <c r="T327" i="2"/>
  <c r="O327" i="2"/>
  <c r="N327" i="2"/>
  <c r="M327" i="2"/>
  <c r="L327" i="2"/>
  <c r="K327" i="2"/>
  <c r="J327" i="2"/>
  <c r="I327" i="2"/>
  <c r="H327" i="2"/>
  <c r="G327" i="2"/>
  <c r="F327" i="2"/>
  <c r="R326" i="2"/>
  <c r="Q326" i="2"/>
  <c r="S326" i="2" s="1"/>
  <c r="P326" i="2"/>
  <c r="AG326" i="2" s="1"/>
  <c r="D326" i="2"/>
  <c r="C326" i="2"/>
  <c r="S325" i="2"/>
  <c r="R325" i="2"/>
  <c r="Q325" i="2"/>
  <c r="P325" i="2"/>
  <c r="D325" i="2"/>
  <c r="C325" i="2"/>
  <c r="R324" i="2"/>
  <c r="Q324" i="2"/>
  <c r="S324" i="2" s="1"/>
  <c r="P324" i="2"/>
  <c r="AG324" i="2" s="1"/>
  <c r="D324" i="2"/>
  <c r="C324" i="2"/>
  <c r="R323" i="2"/>
  <c r="Q323" i="2"/>
  <c r="S323" i="2" s="1"/>
  <c r="P323" i="2"/>
  <c r="AG323" i="2" s="1"/>
  <c r="D323" i="2"/>
  <c r="C323" i="2"/>
  <c r="S322" i="2"/>
  <c r="R322" i="2"/>
  <c r="Q322" i="2"/>
  <c r="P322" i="2"/>
  <c r="AG322" i="2" s="1"/>
  <c r="D322" i="2"/>
  <c r="C322" i="2"/>
  <c r="R321" i="2"/>
  <c r="Q321" i="2"/>
  <c r="S321" i="2" s="1"/>
  <c r="P321" i="2"/>
  <c r="AG321" i="2" s="1"/>
  <c r="D321" i="2"/>
  <c r="C321" i="2"/>
  <c r="R320" i="2"/>
  <c r="Q320" i="2"/>
  <c r="S320" i="2" s="1"/>
  <c r="P320" i="2"/>
  <c r="D320" i="2"/>
  <c r="C320" i="2"/>
  <c r="R319" i="2"/>
  <c r="Q319" i="2"/>
  <c r="S319" i="2" s="1"/>
  <c r="P319" i="2"/>
  <c r="AG319" i="2" s="1"/>
  <c r="D319" i="2"/>
  <c r="C319" i="2"/>
  <c r="R318" i="2"/>
  <c r="Q318" i="2"/>
  <c r="S318" i="2" s="1"/>
  <c r="P318" i="2"/>
  <c r="D318" i="2"/>
  <c r="C318" i="2"/>
  <c r="S317" i="2"/>
  <c r="R317" i="2"/>
  <c r="Q317" i="2"/>
  <c r="P317" i="2"/>
  <c r="AG317" i="2" s="1"/>
  <c r="D317" i="2"/>
  <c r="C317" i="2"/>
  <c r="R316" i="2"/>
  <c r="Q316" i="2"/>
  <c r="S316" i="2" s="1"/>
  <c r="P316" i="2"/>
  <c r="AG316" i="2" s="1"/>
  <c r="D316" i="2"/>
  <c r="C316" i="2"/>
  <c r="Q315" i="2"/>
  <c r="S315" i="2" s="1"/>
  <c r="P315" i="2"/>
  <c r="P327" i="2" s="1"/>
  <c r="D315" i="2"/>
  <c r="C315" i="2"/>
  <c r="Y314" i="2"/>
  <c r="V314" i="2"/>
  <c r="T314" i="2"/>
  <c r="O314" i="2"/>
  <c r="N314" i="2"/>
  <c r="M314" i="2"/>
  <c r="L314" i="2"/>
  <c r="K314" i="2"/>
  <c r="J314" i="2"/>
  <c r="I314" i="2"/>
  <c r="H314" i="2"/>
  <c r="G314" i="2"/>
  <c r="F314" i="2"/>
  <c r="S313" i="2"/>
  <c r="R313" i="2"/>
  <c r="Q313" i="2"/>
  <c r="P313" i="2"/>
  <c r="AG313" i="2" s="1"/>
  <c r="D313" i="2"/>
  <c r="C313" i="2"/>
  <c r="R312" i="2"/>
  <c r="Q312" i="2"/>
  <c r="S312" i="2" s="1"/>
  <c r="P312" i="2"/>
  <c r="D312" i="2"/>
  <c r="C312" i="2"/>
  <c r="R311" i="2"/>
  <c r="Q311" i="2"/>
  <c r="S311" i="2" s="1"/>
  <c r="P311" i="2"/>
  <c r="D311" i="2"/>
  <c r="C311" i="2"/>
  <c r="R310" i="2"/>
  <c r="Q310" i="2"/>
  <c r="S310" i="2" s="1"/>
  <c r="P310" i="2"/>
  <c r="AG310" i="2" s="1"/>
  <c r="D310" i="2"/>
  <c r="C310" i="2"/>
  <c r="R309" i="2"/>
  <c r="Q309" i="2"/>
  <c r="S309" i="2" s="1"/>
  <c r="P309" i="2"/>
  <c r="D309" i="2"/>
  <c r="C309" i="2"/>
  <c r="S308" i="2"/>
  <c r="R308" i="2"/>
  <c r="Q308" i="2"/>
  <c r="P308" i="2"/>
  <c r="AG308" i="2" s="1"/>
  <c r="D308" i="2"/>
  <c r="C308" i="2"/>
  <c r="R307" i="2"/>
  <c r="Q307" i="2"/>
  <c r="S307" i="2" s="1"/>
  <c r="P307" i="2"/>
  <c r="AG307" i="2" s="1"/>
  <c r="D307" i="2"/>
  <c r="C307" i="2"/>
  <c r="R306" i="2"/>
  <c r="Q306" i="2"/>
  <c r="S306" i="2" s="1"/>
  <c r="P306" i="2"/>
  <c r="D306" i="2"/>
  <c r="C306" i="2"/>
  <c r="S305" i="2"/>
  <c r="R305" i="2"/>
  <c r="Q305" i="2"/>
  <c r="P305" i="2"/>
  <c r="AG305" i="2" s="1"/>
  <c r="D305" i="2"/>
  <c r="C305" i="2"/>
  <c r="R304" i="2"/>
  <c r="Q304" i="2"/>
  <c r="S304" i="2" s="1"/>
  <c r="P304" i="2"/>
  <c r="D304" i="2"/>
  <c r="C304" i="2"/>
  <c r="R303" i="2"/>
  <c r="Q303" i="2"/>
  <c r="S303" i="2" s="1"/>
  <c r="P303" i="2"/>
  <c r="D303" i="2"/>
  <c r="C303" i="2"/>
  <c r="AG302" i="2"/>
  <c r="Z302" i="2"/>
  <c r="Y302" i="2"/>
  <c r="Y301" i="2"/>
  <c r="V301" i="2"/>
  <c r="U301" i="2"/>
  <c r="T301" i="2"/>
  <c r="O301" i="2"/>
  <c r="N301" i="2"/>
  <c r="M301" i="2"/>
  <c r="L301" i="2"/>
  <c r="K301" i="2"/>
  <c r="J301" i="2"/>
  <c r="I301" i="2"/>
  <c r="H301" i="2"/>
  <c r="G301" i="2"/>
  <c r="F301" i="2"/>
  <c r="R300" i="2"/>
  <c r="Q300" i="2"/>
  <c r="S300" i="2" s="1"/>
  <c r="P300" i="2"/>
  <c r="D300" i="2"/>
  <c r="C300" i="2"/>
  <c r="R299" i="2"/>
  <c r="Q299" i="2"/>
  <c r="S299" i="2" s="1"/>
  <c r="P299" i="2"/>
  <c r="D299" i="2"/>
  <c r="C299" i="2"/>
  <c r="S298" i="2"/>
  <c r="R298" i="2"/>
  <c r="Q298" i="2"/>
  <c r="P298" i="2"/>
  <c r="AG298" i="2" s="1"/>
  <c r="D298" i="2"/>
  <c r="C298" i="2"/>
  <c r="R296" i="2"/>
  <c r="Q296" i="2"/>
  <c r="S296" i="2" s="1"/>
  <c r="P296" i="2"/>
  <c r="D296" i="2"/>
  <c r="C296" i="2"/>
  <c r="R295" i="2"/>
  <c r="Q295" i="2"/>
  <c r="S295" i="2" s="1"/>
  <c r="P295" i="2"/>
  <c r="D295" i="2"/>
  <c r="C295" i="2"/>
  <c r="R294" i="2"/>
  <c r="Q294" i="2"/>
  <c r="S294" i="2" s="1"/>
  <c r="P294" i="2"/>
  <c r="AG294" i="2" s="1"/>
  <c r="D294" i="2"/>
  <c r="C294" i="2"/>
  <c r="R293" i="2"/>
  <c r="Q293" i="2"/>
  <c r="S293" i="2" s="1"/>
  <c r="P293" i="2"/>
  <c r="D293" i="2"/>
  <c r="C293" i="2"/>
  <c r="R292" i="2"/>
  <c r="Q292" i="2"/>
  <c r="P292" i="2"/>
  <c r="D292" i="2"/>
  <c r="C292" i="2"/>
  <c r="AG291" i="2"/>
  <c r="Z291" i="2"/>
  <c r="Y291" i="2"/>
  <c r="Y290" i="2"/>
  <c r="H290" i="2"/>
  <c r="Y289" i="2"/>
  <c r="U289" i="2"/>
  <c r="T289" i="2"/>
  <c r="O289" i="2"/>
  <c r="N289" i="2"/>
  <c r="M289" i="2"/>
  <c r="L289" i="2"/>
  <c r="L290" i="2" s="1"/>
  <c r="K289" i="2"/>
  <c r="J289" i="2"/>
  <c r="I289" i="2"/>
  <c r="H289" i="2"/>
  <c r="G289" i="2"/>
  <c r="F289" i="2"/>
  <c r="R288" i="2"/>
  <c r="Q288" i="2"/>
  <c r="S288" i="2" s="1"/>
  <c r="P288" i="2"/>
  <c r="AG288" i="2" s="1"/>
  <c r="D288" i="2"/>
  <c r="C288" i="2"/>
  <c r="R287" i="2"/>
  <c r="Q287" i="2"/>
  <c r="S287" i="2" s="1"/>
  <c r="P287" i="2"/>
  <c r="D287" i="2"/>
  <c r="C287" i="2"/>
  <c r="S286" i="2"/>
  <c r="R286" i="2"/>
  <c r="Q286" i="2"/>
  <c r="P286" i="2"/>
  <c r="D286" i="2"/>
  <c r="C286" i="2"/>
  <c r="R285" i="2"/>
  <c r="Q285" i="2"/>
  <c r="S285" i="2" s="1"/>
  <c r="P285" i="2"/>
  <c r="AG285" i="2" s="1"/>
  <c r="D285" i="2"/>
  <c r="C285" i="2"/>
  <c r="R284" i="2"/>
  <c r="Q284" i="2"/>
  <c r="S284" i="2" s="1"/>
  <c r="P284" i="2"/>
  <c r="D284" i="2"/>
  <c r="C284" i="2"/>
  <c r="S283" i="2"/>
  <c r="R283" i="2"/>
  <c r="Q283" i="2"/>
  <c r="P283" i="2"/>
  <c r="AG283" i="2" s="1"/>
  <c r="D283" i="2"/>
  <c r="C283" i="2"/>
  <c r="R282" i="2"/>
  <c r="Q282" i="2"/>
  <c r="S282" i="2" s="1"/>
  <c r="P282" i="2"/>
  <c r="D282" i="2"/>
  <c r="C282" i="2"/>
  <c r="R281" i="2"/>
  <c r="Q281" i="2"/>
  <c r="S281" i="2" s="1"/>
  <c r="P281" i="2"/>
  <c r="D281" i="2"/>
  <c r="C281" i="2"/>
  <c r="R280" i="2"/>
  <c r="Q280" i="2"/>
  <c r="S280" i="2" s="1"/>
  <c r="P280" i="2"/>
  <c r="AG280" i="2" s="1"/>
  <c r="D280" i="2"/>
  <c r="C280" i="2"/>
  <c r="R279" i="2"/>
  <c r="Q279" i="2"/>
  <c r="S279" i="2" s="1"/>
  <c r="P279" i="2"/>
  <c r="D279" i="2"/>
  <c r="C279" i="2"/>
  <c r="S278" i="2"/>
  <c r="R278" i="2"/>
  <c r="Q278" i="2"/>
  <c r="P278" i="2"/>
  <c r="AG278" i="2" s="1"/>
  <c r="D278" i="2"/>
  <c r="C278" i="2"/>
  <c r="R277" i="2"/>
  <c r="Q277" i="2"/>
  <c r="P277" i="2"/>
  <c r="D277" i="2"/>
  <c r="C277" i="2"/>
  <c r="S276" i="2"/>
  <c r="R276" i="2"/>
  <c r="Q276" i="2"/>
  <c r="P276" i="2"/>
  <c r="D276" i="2"/>
  <c r="C276" i="2"/>
  <c r="V275" i="2"/>
  <c r="V289" i="2" s="1"/>
  <c r="R275" i="2"/>
  <c r="Q275" i="2"/>
  <c r="S275" i="2" s="1"/>
  <c r="P275" i="2"/>
  <c r="D275" i="2"/>
  <c r="C275" i="2"/>
  <c r="Y274" i="2"/>
  <c r="U274" i="2"/>
  <c r="T274" i="2"/>
  <c r="T290" i="2" s="1"/>
  <c r="O274" i="2"/>
  <c r="N274" i="2"/>
  <c r="M274" i="2"/>
  <c r="L274" i="2"/>
  <c r="K274" i="2"/>
  <c r="J274" i="2"/>
  <c r="I274" i="2"/>
  <c r="H274" i="2"/>
  <c r="G274" i="2"/>
  <c r="F274" i="2"/>
  <c r="R273" i="2"/>
  <c r="Q273" i="2"/>
  <c r="S273" i="2" s="1"/>
  <c r="P273" i="2"/>
  <c r="D273" i="2"/>
  <c r="C273" i="2"/>
  <c r="R272" i="2"/>
  <c r="Q272" i="2"/>
  <c r="S272" i="2" s="1"/>
  <c r="P272" i="2"/>
  <c r="D272" i="2"/>
  <c r="C272" i="2"/>
  <c r="R271" i="2"/>
  <c r="Q271" i="2"/>
  <c r="S271" i="2" s="1"/>
  <c r="P271" i="2"/>
  <c r="D271" i="2"/>
  <c r="C271" i="2"/>
  <c r="R270" i="2"/>
  <c r="Q270" i="2"/>
  <c r="P270" i="2"/>
  <c r="AG270" i="2" s="1"/>
  <c r="D270" i="2"/>
  <c r="C270" i="2"/>
  <c r="R269" i="2"/>
  <c r="Q269" i="2"/>
  <c r="S269" i="2" s="1"/>
  <c r="P269" i="2"/>
  <c r="D269" i="2"/>
  <c r="C269" i="2"/>
  <c r="R268" i="2"/>
  <c r="Q268" i="2"/>
  <c r="S268" i="2" s="1"/>
  <c r="P268" i="2"/>
  <c r="D268" i="2"/>
  <c r="C268" i="2"/>
  <c r="R267" i="2"/>
  <c r="Q267" i="2"/>
  <c r="S267" i="2" s="1"/>
  <c r="P267" i="2"/>
  <c r="D267" i="2"/>
  <c r="C267" i="2"/>
  <c r="S266" i="2"/>
  <c r="R266" i="2"/>
  <c r="Q266" i="2"/>
  <c r="P266" i="2"/>
  <c r="D266" i="2"/>
  <c r="C266" i="2"/>
  <c r="V265" i="2"/>
  <c r="R265" i="2"/>
  <c r="Q265" i="2"/>
  <c r="S265" i="2" s="1"/>
  <c r="P265" i="2"/>
  <c r="D265" i="2"/>
  <c r="C265" i="2"/>
  <c r="AG264" i="2"/>
  <c r="R264" i="2"/>
  <c r="Q264" i="2"/>
  <c r="S264" i="2" s="1"/>
  <c r="P264" i="2"/>
  <c r="D264" i="2"/>
  <c r="C264" i="2"/>
  <c r="R263" i="2"/>
  <c r="Q263" i="2"/>
  <c r="S263" i="2" s="1"/>
  <c r="P263" i="2"/>
  <c r="D263" i="2"/>
  <c r="C263" i="2"/>
  <c r="Q262" i="2"/>
  <c r="S262" i="2" s="1"/>
  <c r="P262" i="2"/>
  <c r="D262" i="2"/>
  <c r="C262" i="2"/>
  <c r="S261" i="2"/>
  <c r="R261" i="2"/>
  <c r="Q261" i="2"/>
  <c r="P261" i="2"/>
  <c r="D261" i="2"/>
  <c r="C261" i="2"/>
  <c r="R260" i="2"/>
  <c r="Q260" i="2"/>
  <c r="S260" i="2" s="1"/>
  <c r="P260" i="2"/>
  <c r="AG260" i="2" s="1"/>
  <c r="D260" i="2"/>
  <c r="C260" i="2"/>
  <c r="R259" i="2"/>
  <c r="Q259" i="2"/>
  <c r="S259" i="2" s="1"/>
  <c r="P259" i="2"/>
  <c r="D259" i="2"/>
  <c r="C259" i="2"/>
  <c r="R258" i="2"/>
  <c r="Q258" i="2"/>
  <c r="S258" i="2" s="1"/>
  <c r="P258" i="2"/>
  <c r="D258" i="2"/>
  <c r="C258" i="2"/>
  <c r="S257" i="2"/>
  <c r="R257" i="2"/>
  <c r="Q257" i="2"/>
  <c r="P257" i="2"/>
  <c r="AG257" i="2" s="1"/>
  <c r="D257" i="2"/>
  <c r="C257" i="2"/>
  <c r="R256" i="2"/>
  <c r="Q256" i="2"/>
  <c r="S256" i="2" s="1"/>
  <c r="P256" i="2"/>
  <c r="D256" i="2"/>
  <c r="C256" i="2"/>
  <c r="R255" i="2"/>
  <c r="Q255" i="2"/>
  <c r="S255" i="2" s="1"/>
  <c r="P255" i="2"/>
  <c r="D255" i="2"/>
  <c r="C255" i="2"/>
  <c r="S254" i="2"/>
  <c r="R254" i="2"/>
  <c r="Q254" i="2"/>
  <c r="P254" i="2"/>
  <c r="AG254" i="2" s="1"/>
  <c r="D254" i="2"/>
  <c r="C254" i="2"/>
  <c r="R253" i="2"/>
  <c r="Q253" i="2"/>
  <c r="S253" i="2" s="1"/>
  <c r="P253" i="2"/>
  <c r="D253" i="2"/>
  <c r="C253" i="2"/>
  <c r="R252" i="2"/>
  <c r="Q252" i="2"/>
  <c r="S252" i="2" s="1"/>
  <c r="P252" i="2"/>
  <c r="D252" i="2"/>
  <c r="C252" i="2"/>
  <c r="S251" i="2"/>
  <c r="R251" i="2"/>
  <c r="Q251" i="2"/>
  <c r="P251" i="2"/>
  <c r="D251" i="2"/>
  <c r="C251" i="2"/>
  <c r="V250" i="2"/>
  <c r="V274" i="2" s="1"/>
  <c r="S250" i="2"/>
  <c r="R250" i="2"/>
  <c r="Q250" i="2"/>
  <c r="P250" i="2"/>
  <c r="AG249" i="2"/>
  <c r="Z249" i="2"/>
  <c r="Y249" i="2"/>
  <c r="Y248" i="2"/>
  <c r="Y247" i="2"/>
  <c r="V247" i="2"/>
  <c r="U247" i="2"/>
  <c r="T247" i="2"/>
  <c r="O247" i="2"/>
  <c r="N247" i="2"/>
  <c r="M247" i="2"/>
  <c r="L247" i="2"/>
  <c r="K247" i="2"/>
  <c r="J247" i="2"/>
  <c r="I247" i="2"/>
  <c r="H247" i="2"/>
  <c r="G247" i="2"/>
  <c r="F247" i="2"/>
  <c r="R246" i="2"/>
  <c r="Q246" i="2"/>
  <c r="S246" i="2" s="1"/>
  <c r="P246" i="2"/>
  <c r="D246" i="2"/>
  <c r="C246" i="2"/>
  <c r="R245" i="2"/>
  <c r="Q245" i="2"/>
  <c r="S245" i="2" s="1"/>
  <c r="P245" i="2"/>
  <c r="D245" i="2"/>
  <c r="C245" i="2"/>
  <c r="R244" i="2"/>
  <c r="Q244" i="2"/>
  <c r="S244" i="2" s="1"/>
  <c r="P244" i="2"/>
  <c r="D244" i="2"/>
  <c r="C244" i="2"/>
  <c r="R243" i="2"/>
  <c r="Q243" i="2"/>
  <c r="S243" i="2" s="1"/>
  <c r="P243" i="2"/>
  <c r="D243" i="2"/>
  <c r="C243" i="2"/>
  <c r="R242" i="2"/>
  <c r="Q242" i="2"/>
  <c r="S242" i="2" s="1"/>
  <c r="P242" i="2"/>
  <c r="AG242" i="2" s="1"/>
  <c r="D242" i="2"/>
  <c r="C242" i="2"/>
  <c r="R241" i="2"/>
  <c r="Q241" i="2"/>
  <c r="S241" i="2" s="1"/>
  <c r="P241" i="2"/>
  <c r="D241" i="2"/>
  <c r="C241" i="2"/>
  <c r="R240" i="2"/>
  <c r="Q240" i="2"/>
  <c r="S240" i="2" s="1"/>
  <c r="P240" i="2"/>
  <c r="D240" i="2"/>
  <c r="C240" i="2"/>
  <c r="R239" i="2"/>
  <c r="Q239" i="2"/>
  <c r="S239" i="2" s="1"/>
  <c r="P239" i="2"/>
  <c r="D239" i="2"/>
  <c r="C239" i="2"/>
  <c r="R238" i="2"/>
  <c r="Q238" i="2"/>
  <c r="S238" i="2" s="1"/>
  <c r="P238" i="2"/>
  <c r="AG238" i="2" s="1"/>
  <c r="D238" i="2"/>
  <c r="C238" i="2"/>
  <c r="R237" i="2"/>
  <c r="Q237" i="2"/>
  <c r="S237" i="2" s="1"/>
  <c r="P237" i="2"/>
  <c r="D237" i="2"/>
  <c r="C237" i="2"/>
  <c r="R236" i="2"/>
  <c r="Q236" i="2"/>
  <c r="S236" i="2" s="1"/>
  <c r="P236" i="2"/>
  <c r="D236" i="2"/>
  <c r="C236" i="2"/>
  <c r="R235" i="2"/>
  <c r="Q235" i="2"/>
  <c r="S235" i="2" s="1"/>
  <c r="P235" i="2"/>
  <c r="D235" i="2"/>
  <c r="C235" i="2"/>
  <c r="R234" i="2"/>
  <c r="Q234" i="2"/>
  <c r="S234" i="2" s="1"/>
  <c r="P234" i="2"/>
  <c r="AG234" i="2" s="1"/>
  <c r="D234" i="2"/>
  <c r="C234" i="2"/>
  <c r="R233" i="2"/>
  <c r="Q233" i="2"/>
  <c r="S233" i="2" s="1"/>
  <c r="P233" i="2"/>
  <c r="D233" i="2"/>
  <c r="C233" i="2"/>
  <c r="Y232" i="2"/>
  <c r="V232" i="2"/>
  <c r="U232" i="2"/>
  <c r="T232" i="2"/>
  <c r="O232" i="2"/>
  <c r="O248" i="2" s="1"/>
  <c r="N232" i="2"/>
  <c r="M232" i="2"/>
  <c r="L232" i="2"/>
  <c r="K232" i="2"/>
  <c r="K248" i="2" s="1"/>
  <c r="J232" i="2"/>
  <c r="I232" i="2"/>
  <c r="H232" i="2"/>
  <c r="G232" i="2"/>
  <c r="G248" i="2" s="1"/>
  <c r="F232" i="2"/>
  <c r="R231" i="2"/>
  <c r="Q231" i="2"/>
  <c r="S231" i="2" s="1"/>
  <c r="P231" i="2"/>
  <c r="AG231" i="2" s="1"/>
  <c r="D231" i="2"/>
  <c r="C231" i="2"/>
  <c r="R230" i="2"/>
  <c r="Q230" i="2"/>
  <c r="S230" i="2" s="1"/>
  <c r="P230" i="2"/>
  <c r="D230" i="2"/>
  <c r="C230" i="2"/>
  <c r="R229" i="2"/>
  <c r="Q229" i="2"/>
  <c r="S229" i="2" s="1"/>
  <c r="P229" i="2"/>
  <c r="D229" i="2"/>
  <c r="C229" i="2"/>
  <c r="R228" i="2"/>
  <c r="Q228" i="2"/>
  <c r="S228" i="2" s="1"/>
  <c r="P228" i="2"/>
  <c r="D228" i="2"/>
  <c r="C228" i="2"/>
  <c r="R227" i="2"/>
  <c r="Q227" i="2"/>
  <c r="P227" i="2"/>
  <c r="P232" i="2" s="1"/>
  <c r="D227" i="2"/>
  <c r="C227" i="2"/>
  <c r="U226" i="2"/>
  <c r="T226" i="2"/>
  <c r="Q225" i="2"/>
  <c r="S225" i="2" s="1"/>
  <c r="P225" i="2"/>
  <c r="D225" i="2"/>
  <c r="C225" i="2"/>
  <c r="R224" i="2"/>
  <c r="Q224" i="2"/>
  <c r="S224" i="2" s="1"/>
  <c r="P224" i="2"/>
  <c r="D224" i="2"/>
  <c r="C224" i="2"/>
  <c r="R223" i="2"/>
  <c r="Q223" i="2"/>
  <c r="S223" i="2" s="1"/>
  <c r="P223" i="2"/>
  <c r="AG223" i="2" s="1"/>
  <c r="D223" i="2"/>
  <c r="C223" i="2"/>
  <c r="V222" i="2"/>
  <c r="V226" i="2" s="1"/>
  <c r="R222" i="2"/>
  <c r="R226" i="2" s="1"/>
  <c r="Q222" i="2"/>
  <c r="S222" i="2" s="1"/>
  <c r="S226" i="2" s="1"/>
  <c r="P222" i="2"/>
  <c r="D222" i="2"/>
  <c r="C222" i="2"/>
  <c r="Y221" i="2"/>
  <c r="X221" i="2"/>
  <c r="W221" i="2"/>
  <c r="U221" i="2"/>
  <c r="T221" i="2"/>
  <c r="O221" i="2"/>
  <c r="N221" i="2"/>
  <c r="M221" i="2"/>
  <c r="L221" i="2"/>
  <c r="K221" i="2"/>
  <c r="J221" i="2"/>
  <c r="I221" i="2"/>
  <c r="H221" i="2"/>
  <c r="G221" i="2"/>
  <c r="F221" i="2"/>
  <c r="V220" i="2"/>
  <c r="R220" i="2"/>
  <c r="Q220" i="2"/>
  <c r="S220" i="2" s="1"/>
  <c r="P220" i="2"/>
  <c r="D220" i="2"/>
  <c r="C220" i="2"/>
  <c r="R219" i="2"/>
  <c r="Q219" i="2"/>
  <c r="S219" i="2" s="1"/>
  <c r="P219" i="2"/>
  <c r="AG219" i="2" s="1"/>
  <c r="D219" i="2"/>
  <c r="C219" i="2"/>
  <c r="R218" i="2"/>
  <c r="Q218" i="2"/>
  <c r="S218" i="2" s="1"/>
  <c r="P218" i="2"/>
  <c r="D218" i="2"/>
  <c r="C218" i="2"/>
  <c r="R217" i="2"/>
  <c r="Q217" i="2"/>
  <c r="S217" i="2" s="1"/>
  <c r="P217" i="2"/>
  <c r="D217" i="2"/>
  <c r="C217" i="2"/>
  <c r="V216" i="2"/>
  <c r="R216" i="2"/>
  <c r="Q216" i="2"/>
  <c r="S216" i="2" s="1"/>
  <c r="P216" i="2"/>
  <c r="D216" i="2"/>
  <c r="C216" i="2"/>
  <c r="S215" i="2"/>
  <c r="R215" i="2"/>
  <c r="Q215" i="2"/>
  <c r="P215" i="2"/>
  <c r="D215" i="2"/>
  <c r="C215" i="2"/>
  <c r="R214" i="2"/>
  <c r="Q214" i="2"/>
  <c r="S214" i="2" s="1"/>
  <c r="P214" i="2"/>
  <c r="AG214" i="2" s="1"/>
  <c r="D214" i="2"/>
  <c r="C214" i="2"/>
  <c r="R213" i="2"/>
  <c r="Q213" i="2"/>
  <c r="S213" i="2" s="1"/>
  <c r="P213" i="2"/>
  <c r="D213" i="2"/>
  <c r="C213" i="2"/>
  <c r="R212" i="2"/>
  <c r="Q212" i="2"/>
  <c r="S212" i="2" s="1"/>
  <c r="P212" i="2"/>
  <c r="D212" i="2"/>
  <c r="C212" i="2"/>
  <c r="R211" i="2"/>
  <c r="Q211" i="2"/>
  <c r="S211" i="2" s="1"/>
  <c r="P211" i="2"/>
  <c r="AG211" i="2" s="1"/>
  <c r="D211" i="2"/>
  <c r="C211" i="2"/>
  <c r="R210" i="2"/>
  <c r="Q210" i="2"/>
  <c r="S210" i="2" s="1"/>
  <c r="P210" i="2"/>
  <c r="D210" i="2"/>
  <c r="C210" i="2"/>
  <c r="R209" i="2"/>
  <c r="Q209" i="2"/>
  <c r="S209" i="2" s="1"/>
  <c r="P209" i="2"/>
  <c r="D209" i="2"/>
  <c r="C209" i="2"/>
  <c r="R208" i="2"/>
  <c r="Q208" i="2"/>
  <c r="S208" i="2" s="1"/>
  <c r="P208" i="2"/>
  <c r="AG208" i="2" s="1"/>
  <c r="D208" i="2"/>
  <c r="C208" i="2"/>
  <c r="R207" i="2"/>
  <c r="Q207" i="2"/>
  <c r="S207" i="2" s="1"/>
  <c r="P207" i="2"/>
  <c r="AG207" i="2" s="1"/>
  <c r="D207" i="2"/>
  <c r="C207" i="2"/>
  <c r="S206" i="2"/>
  <c r="R206" i="2"/>
  <c r="Q206" i="2"/>
  <c r="P206" i="2"/>
  <c r="D206" i="2"/>
  <c r="C206" i="2"/>
  <c r="R205" i="2"/>
  <c r="Q205" i="2"/>
  <c r="S205" i="2" s="1"/>
  <c r="P205" i="2"/>
  <c r="AG205" i="2" s="1"/>
  <c r="D205" i="2"/>
  <c r="C205" i="2"/>
  <c r="R204" i="2"/>
  <c r="Q204" i="2"/>
  <c r="S204" i="2" s="1"/>
  <c r="P204" i="2"/>
  <c r="AG204" i="2" s="1"/>
  <c r="D204" i="2"/>
  <c r="C204" i="2"/>
  <c r="R203" i="2"/>
  <c r="Q203" i="2"/>
  <c r="S203" i="2" s="1"/>
  <c r="P203" i="2"/>
  <c r="D203" i="2"/>
  <c r="C203" i="2"/>
  <c r="S202" i="2"/>
  <c r="R202" i="2"/>
  <c r="Q202" i="2"/>
  <c r="P202" i="2"/>
  <c r="AG202" i="2" s="1"/>
  <c r="D202" i="2"/>
  <c r="C202" i="2"/>
  <c r="R201" i="2"/>
  <c r="Q201" i="2"/>
  <c r="S201" i="2" s="1"/>
  <c r="P201" i="2"/>
  <c r="AG201" i="2" s="1"/>
  <c r="D201" i="2"/>
  <c r="C201" i="2"/>
  <c r="R200" i="2"/>
  <c r="Q200" i="2"/>
  <c r="S200" i="2" s="1"/>
  <c r="P200" i="2"/>
  <c r="D200" i="2"/>
  <c r="C200" i="2"/>
  <c r="R199" i="2"/>
  <c r="Q199" i="2"/>
  <c r="S199" i="2" s="1"/>
  <c r="P199" i="2"/>
  <c r="D199" i="2"/>
  <c r="C199" i="2"/>
  <c r="R198" i="2"/>
  <c r="Q198" i="2"/>
  <c r="S198" i="2" s="1"/>
  <c r="P198" i="2"/>
  <c r="D198" i="2"/>
  <c r="C198" i="2"/>
  <c r="R197" i="2"/>
  <c r="Q197" i="2"/>
  <c r="S197" i="2" s="1"/>
  <c r="P197" i="2"/>
  <c r="D197" i="2"/>
  <c r="C197" i="2"/>
  <c r="R196" i="2"/>
  <c r="Q196" i="2"/>
  <c r="S196" i="2" s="1"/>
  <c r="P196" i="2"/>
  <c r="D196" i="2"/>
  <c r="C196" i="2"/>
  <c r="R195" i="2"/>
  <c r="Q195" i="2"/>
  <c r="S195" i="2" s="1"/>
  <c r="P195" i="2"/>
  <c r="AG195" i="2" s="1"/>
  <c r="D195" i="2"/>
  <c r="C195" i="2"/>
  <c r="R194" i="2"/>
  <c r="Q194" i="2"/>
  <c r="S194" i="2" s="1"/>
  <c r="P194" i="2"/>
  <c r="D194" i="2"/>
  <c r="C194" i="2"/>
  <c r="R193" i="2"/>
  <c r="Q193" i="2"/>
  <c r="S193" i="2" s="1"/>
  <c r="P193" i="2"/>
  <c r="D193" i="2"/>
  <c r="C193" i="2"/>
  <c r="R192" i="2"/>
  <c r="Q192" i="2"/>
  <c r="S192" i="2" s="1"/>
  <c r="P192" i="2"/>
  <c r="AG192" i="2" s="1"/>
  <c r="D192" i="2"/>
  <c r="C192" i="2"/>
  <c r="R191" i="2"/>
  <c r="Q191" i="2"/>
  <c r="S191" i="2" s="1"/>
  <c r="P191" i="2"/>
  <c r="AG191" i="2" s="1"/>
  <c r="D191" i="2"/>
  <c r="C191" i="2"/>
  <c r="S190" i="2"/>
  <c r="R190" i="2"/>
  <c r="Q190" i="2"/>
  <c r="P190" i="2"/>
  <c r="D190" i="2"/>
  <c r="C190" i="2"/>
  <c r="R189" i="2"/>
  <c r="Q189" i="2"/>
  <c r="P189" i="2"/>
  <c r="AG189" i="2" s="1"/>
  <c r="D189" i="2"/>
  <c r="C189" i="2"/>
  <c r="R188" i="2"/>
  <c r="Q188" i="2"/>
  <c r="S188" i="2" s="1"/>
  <c r="P188" i="2"/>
  <c r="AG188" i="2" s="1"/>
  <c r="D188" i="2"/>
  <c r="C188" i="2"/>
  <c r="S187" i="2"/>
  <c r="R187" i="2"/>
  <c r="Q187" i="2"/>
  <c r="P187" i="2"/>
  <c r="D187" i="2"/>
  <c r="C187" i="2"/>
  <c r="R186" i="2"/>
  <c r="Q186" i="2"/>
  <c r="S186" i="2" s="1"/>
  <c r="P186" i="2"/>
  <c r="AG186" i="2" s="1"/>
  <c r="D186" i="2"/>
  <c r="C186" i="2"/>
  <c r="R185" i="2"/>
  <c r="Q185" i="2"/>
  <c r="S185" i="2" s="1"/>
  <c r="P185" i="2"/>
  <c r="D185" i="2"/>
  <c r="C185" i="2"/>
  <c r="V184" i="2"/>
  <c r="R184" i="2"/>
  <c r="R221" i="2" s="1"/>
  <c r="Q184" i="2"/>
  <c r="S184" i="2" s="1"/>
  <c r="P184" i="2"/>
  <c r="D184" i="2"/>
  <c r="C184" i="2"/>
  <c r="V183" i="2"/>
  <c r="U183" i="2"/>
  <c r="T183" i="2"/>
  <c r="R182" i="2"/>
  <c r="R183" i="2" s="1"/>
  <c r="Q182" i="2"/>
  <c r="Q183" i="2" s="1"/>
  <c r="P182" i="2"/>
  <c r="P183" i="2" s="1"/>
  <c r="AG183" i="2" s="1"/>
  <c r="D182" i="2"/>
  <c r="C182" i="2"/>
  <c r="V181" i="2"/>
  <c r="U181" i="2"/>
  <c r="T181" i="2"/>
  <c r="R181" i="2"/>
  <c r="Q180" i="2"/>
  <c r="S180" i="2" s="1"/>
  <c r="P180" i="2"/>
  <c r="AG180" i="2" s="1"/>
  <c r="D180" i="2"/>
  <c r="C180" i="2"/>
  <c r="Q179" i="2"/>
  <c r="S179" i="2" s="1"/>
  <c r="P179" i="2"/>
  <c r="D179" i="2"/>
  <c r="C179" i="2"/>
  <c r="Q178" i="2"/>
  <c r="P178" i="2"/>
  <c r="P181" i="2" s="1"/>
  <c r="D178" i="2"/>
  <c r="C178" i="2"/>
  <c r="V177" i="2"/>
  <c r="U177" i="2"/>
  <c r="T177" i="2"/>
  <c r="R176" i="2"/>
  <c r="Q176" i="2"/>
  <c r="S176" i="2" s="1"/>
  <c r="P176" i="2"/>
  <c r="AG176" i="2" s="1"/>
  <c r="D176" i="2"/>
  <c r="C176" i="2"/>
  <c r="R175" i="2"/>
  <c r="Q175" i="2"/>
  <c r="S175" i="2" s="1"/>
  <c r="P175" i="2"/>
  <c r="AG175" i="2" s="1"/>
  <c r="D175" i="2"/>
  <c r="C175" i="2"/>
  <c r="Q174" i="2"/>
  <c r="S174" i="2" s="1"/>
  <c r="P174" i="2"/>
  <c r="AG174" i="2" s="1"/>
  <c r="D174" i="2"/>
  <c r="C174" i="2"/>
  <c r="R173" i="2"/>
  <c r="Q173" i="2"/>
  <c r="Q177" i="2" s="1"/>
  <c r="P173" i="2"/>
  <c r="D173" i="2"/>
  <c r="C173" i="2"/>
  <c r="Y172" i="2"/>
  <c r="X172" i="2"/>
  <c r="W172" i="2"/>
  <c r="V172" i="2"/>
  <c r="U172" i="2"/>
  <c r="T172" i="2"/>
  <c r="O172" i="2"/>
  <c r="N172" i="2"/>
  <c r="M172" i="2"/>
  <c r="L172" i="2"/>
  <c r="K172" i="2"/>
  <c r="J172" i="2"/>
  <c r="I172" i="2"/>
  <c r="H172" i="2"/>
  <c r="G172" i="2"/>
  <c r="F172" i="2"/>
  <c r="D171" i="2"/>
  <c r="C171" i="2"/>
  <c r="D170" i="2"/>
  <c r="C170" i="2"/>
  <c r="D169" i="2"/>
  <c r="C169" i="2"/>
  <c r="R168" i="2"/>
  <c r="Q168" i="2"/>
  <c r="S168" i="2" s="1"/>
  <c r="P168" i="2"/>
  <c r="D168" i="2"/>
  <c r="C168" i="2"/>
  <c r="R167" i="2"/>
  <c r="Q167" i="2"/>
  <c r="S167" i="2" s="1"/>
  <c r="P167" i="2"/>
  <c r="D167" i="2"/>
  <c r="C167" i="2"/>
  <c r="R166" i="2"/>
  <c r="Q166" i="2"/>
  <c r="S166" i="2" s="1"/>
  <c r="P166" i="2"/>
  <c r="AG166" i="2" s="1"/>
  <c r="D166" i="2"/>
  <c r="C166" i="2"/>
  <c r="R165" i="2"/>
  <c r="Q165" i="2"/>
  <c r="S165" i="2" s="1"/>
  <c r="P165" i="2"/>
  <c r="D165" i="2"/>
  <c r="C165" i="2"/>
  <c r="R164" i="2"/>
  <c r="Q164" i="2"/>
  <c r="S164" i="2" s="1"/>
  <c r="P164" i="2"/>
  <c r="D164" i="2"/>
  <c r="C164" i="2"/>
  <c r="R163" i="2"/>
  <c r="Q163" i="2"/>
  <c r="S163" i="2" s="1"/>
  <c r="P163" i="2"/>
  <c r="AG163" i="2" s="1"/>
  <c r="D163" i="2"/>
  <c r="C163" i="2"/>
  <c r="R162" i="2"/>
  <c r="Q162" i="2"/>
  <c r="S162" i="2" s="1"/>
  <c r="P162" i="2"/>
  <c r="D162" i="2"/>
  <c r="C162" i="2"/>
  <c r="R161" i="2"/>
  <c r="Q161" i="2"/>
  <c r="S161" i="2" s="1"/>
  <c r="P161" i="2"/>
  <c r="D161" i="2"/>
  <c r="C161" i="2"/>
  <c r="R160" i="2"/>
  <c r="Q160" i="2"/>
  <c r="S160" i="2" s="1"/>
  <c r="P160" i="2"/>
  <c r="AG160" i="2" s="1"/>
  <c r="D160" i="2"/>
  <c r="C160" i="2"/>
  <c r="R159" i="2"/>
  <c r="Q159" i="2"/>
  <c r="S159" i="2" s="1"/>
  <c r="P159" i="2"/>
  <c r="AG159" i="2" s="1"/>
  <c r="D159" i="2"/>
  <c r="C159" i="2"/>
  <c r="R158" i="2"/>
  <c r="Q158" i="2"/>
  <c r="S158" i="2" s="1"/>
  <c r="P158" i="2"/>
  <c r="D158" i="2"/>
  <c r="C158" i="2"/>
  <c r="R157" i="2"/>
  <c r="Q157" i="2"/>
  <c r="S157" i="2" s="1"/>
  <c r="P157" i="2"/>
  <c r="AG157" i="2" s="1"/>
  <c r="D157" i="2"/>
  <c r="C157" i="2"/>
  <c r="Q156" i="2"/>
  <c r="S156" i="2" s="1"/>
  <c r="P156" i="2"/>
  <c r="AG156" i="2" s="1"/>
  <c r="D156" i="2"/>
  <c r="C156" i="2"/>
  <c r="R155" i="2"/>
  <c r="Q155" i="2"/>
  <c r="S155" i="2" s="1"/>
  <c r="P155" i="2"/>
  <c r="AG155" i="2" s="1"/>
  <c r="D155" i="2"/>
  <c r="C155" i="2"/>
  <c r="R154" i="2"/>
  <c r="Q154" i="2"/>
  <c r="AG154" i="2" s="1"/>
  <c r="P154" i="2"/>
  <c r="D154" i="2"/>
  <c r="C154" i="2"/>
  <c r="R153" i="2"/>
  <c r="Q153" i="2"/>
  <c r="S153" i="2" s="1"/>
  <c r="P153" i="2"/>
  <c r="AG153" i="2" s="1"/>
  <c r="D153" i="2"/>
  <c r="C153" i="2"/>
  <c r="R152" i="2"/>
  <c r="Q152" i="2"/>
  <c r="S152" i="2" s="1"/>
  <c r="P152" i="2"/>
  <c r="D152" i="2"/>
  <c r="C152" i="2"/>
  <c r="Q151" i="2"/>
  <c r="P151" i="2"/>
  <c r="D151" i="2"/>
  <c r="C151" i="2"/>
  <c r="Y150" i="2"/>
  <c r="U150" i="2"/>
  <c r="T150" i="2"/>
  <c r="O150" i="2"/>
  <c r="N150" i="2"/>
  <c r="M150" i="2"/>
  <c r="L150" i="2"/>
  <c r="K150" i="2"/>
  <c r="J150" i="2"/>
  <c r="I150" i="2"/>
  <c r="H150" i="2"/>
  <c r="G150" i="2"/>
  <c r="F150" i="2"/>
  <c r="D148" i="2"/>
  <c r="C148" i="2"/>
  <c r="D147" i="2"/>
  <c r="C147" i="2"/>
  <c r="Q146" i="2"/>
  <c r="S146" i="2" s="1"/>
  <c r="P146" i="2"/>
  <c r="D146" i="2"/>
  <c r="C146" i="2"/>
  <c r="R145" i="2"/>
  <c r="Q145" i="2"/>
  <c r="S145" i="2" s="1"/>
  <c r="P145" i="2"/>
  <c r="AG145" i="2" s="1"/>
  <c r="D145" i="2"/>
  <c r="C145" i="2"/>
  <c r="R144" i="2"/>
  <c r="Q144" i="2"/>
  <c r="S144" i="2" s="1"/>
  <c r="P144" i="2"/>
  <c r="D144" i="2"/>
  <c r="C144" i="2"/>
  <c r="S143" i="2"/>
  <c r="R143" i="2"/>
  <c r="Q143" i="2"/>
  <c r="P143" i="2"/>
  <c r="AG143" i="2" s="1"/>
  <c r="D143" i="2"/>
  <c r="C143" i="2"/>
  <c r="R142" i="2"/>
  <c r="Q142" i="2"/>
  <c r="S142" i="2" s="1"/>
  <c r="P142" i="2"/>
  <c r="AG142" i="2" s="1"/>
  <c r="D142" i="2"/>
  <c r="C142" i="2"/>
  <c r="R141" i="2"/>
  <c r="Q141" i="2"/>
  <c r="S141" i="2" s="1"/>
  <c r="P141" i="2"/>
  <c r="D141" i="2"/>
  <c r="C141" i="2"/>
  <c r="S140" i="2"/>
  <c r="R140" i="2"/>
  <c r="Q140" i="2"/>
  <c r="P140" i="2"/>
  <c r="AG140" i="2" s="1"/>
  <c r="D140" i="2"/>
  <c r="C140" i="2"/>
  <c r="R139" i="2"/>
  <c r="Q139" i="2"/>
  <c r="S139" i="2" s="1"/>
  <c r="P139" i="2"/>
  <c r="AG139" i="2" s="1"/>
  <c r="D139" i="2"/>
  <c r="C139" i="2"/>
  <c r="R138" i="2"/>
  <c r="Q138" i="2"/>
  <c r="S138" i="2" s="1"/>
  <c r="P138" i="2"/>
  <c r="D138" i="2"/>
  <c r="C138" i="2"/>
  <c r="V137" i="2"/>
  <c r="V150" i="2" s="1"/>
  <c r="R137" i="2"/>
  <c r="Q137" i="2"/>
  <c r="S137" i="2" s="1"/>
  <c r="P137" i="2"/>
  <c r="D137" i="2"/>
  <c r="C137" i="2"/>
  <c r="R136" i="2"/>
  <c r="Q136" i="2"/>
  <c r="P136" i="2"/>
  <c r="D136" i="2"/>
  <c r="C136" i="2"/>
  <c r="Y135" i="2"/>
  <c r="V135" i="2"/>
  <c r="U135" i="2"/>
  <c r="T135" i="2"/>
  <c r="O135" i="2"/>
  <c r="N135" i="2"/>
  <c r="M135" i="2"/>
  <c r="L135" i="2"/>
  <c r="K135" i="2"/>
  <c r="J135" i="2"/>
  <c r="I135" i="2"/>
  <c r="H135" i="2"/>
  <c r="G135" i="2"/>
  <c r="F135" i="2"/>
  <c r="Q134" i="2"/>
  <c r="S134" i="2" s="1"/>
  <c r="P134" i="2"/>
  <c r="D134" i="2"/>
  <c r="C134" i="2"/>
  <c r="R133" i="2"/>
  <c r="Q133" i="2"/>
  <c r="S133" i="2" s="1"/>
  <c r="P133" i="2"/>
  <c r="AG133" i="2" s="1"/>
  <c r="D133" i="2"/>
  <c r="C133" i="2"/>
  <c r="S132" i="2"/>
  <c r="R132" i="2"/>
  <c r="Q132" i="2"/>
  <c r="P132" i="2"/>
  <c r="AG132" i="2" s="1"/>
  <c r="D132" i="2"/>
  <c r="C132" i="2"/>
  <c r="R131" i="2"/>
  <c r="Q131" i="2"/>
  <c r="S131" i="2" s="1"/>
  <c r="P131" i="2"/>
  <c r="D131" i="2"/>
  <c r="C131" i="2"/>
  <c r="R130" i="2"/>
  <c r="Q130" i="2"/>
  <c r="S130" i="2" s="1"/>
  <c r="P130" i="2"/>
  <c r="D130" i="2"/>
  <c r="C130" i="2"/>
  <c r="R129" i="2"/>
  <c r="Q129" i="2"/>
  <c r="S129" i="2" s="1"/>
  <c r="P129" i="2"/>
  <c r="AG129" i="2" s="1"/>
  <c r="D129" i="2"/>
  <c r="C129" i="2"/>
  <c r="Q128" i="2"/>
  <c r="P128" i="2"/>
  <c r="D128" i="2"/>
  <c r="C128" i="2"/>
  <c r="AG127" i="2"/>
  <c r="Z127" i="2"/>
  <c r="Y127" i="2"/>
  <c r="Y126" i="2"/>
  <c r="Y125" i="2"/>
  <c r="V125" i="2"/>
  <c r="U125" i="2"/>
  <c r="T125" i="2"/>
  <c r="O125" i="2"/>
  <c r="N125" i="2"/>
  <c r="M125" i="2"/>
  <c r="L125" i="2"/>
  <c r="K125" i="2"/>
  <c r="J125" i="2"/>
  <c r="I125" i="2"/>
  <c r="H125" i="2"/>
  <c r="G125" i="2"/>
  <c r="F125" i="2"/>
  <c r="R124" i="2"/>
  <c r="Q124" i="2"/>
  <c r="S124" i="2" s="1"/>
  <c r="P124" i="2"/>
  <c r="D124" i="2"/>
  <c r="C124" i="2"/>
  <c r="R123" i="2"/>
  <c r="Q123" i="2"/>
  <c r="S123" i="2" s="1"/>
  <c r="P123" i="2"/>
  <c r="AG123" i="2" s="1"/>
  <c r="D123" i="2"/>
  <c r="C123" i="2"/>
  <c r="R122" i="2"/>
  <c r="Q122" i="2"/>
  <c r="S122" i="2" s="1"/>
  <c r="P122" i="2"/>
  <c r="D122" i="2"/>
  <c r="C122" i="2"/>
  <c r="S121" i="2"/>
  <c r="R121" i="2"/>
  <c r="Q121" i="2"/>
  <c r="P121" i="2"/>
  <c r="AG121" i="2" s="1"/>
  <c r="D121" i="2"/>
  <c r="C121" i="2"/>
  <c r="R120" i="2"/>
  <c r="Q120" i="2"/>
  <c r="S120" i="2" s="1"/>
  <c r="P120" i="2"/>
  <c r="AG120" i="2" s="1"/>
  <c r="D120" i="2"/>
  <c r="C120" i="2"/>
  <c r="R119" i="2"/>
  <c r="Q119" i="2"/>
  <c r="P119" i="2"/>
  <c r="D119" i="2"/>
  <c r="C119" i="2"/>
  <c r="Y118" i="2"/>
  <c r="V118" i="2"/>
  <c r="U118" i="2"/>
  <c r="T118" i="2"/>
  <c r="O118" i="2"/>
  <c r="O126" i="2" s="1"/>
  <c r="N118" i="2"/>
  <c r="M118" i="2"/>
  <c r="L118" i="2"/>
  <c r="K118" i="2"/>
  <c r="K126" i="2" s="1"/>
  <c r="J118" i="2"/>
  <c r="I118" i="2"/>
  <c r="H118" i="2"/>
  <c r="G118" i="2"/>
  <c r="G126" i="2" s="1"/>
  <c r="F118" i="2"/>
  <c r="R117" i="2"/>
  <c r="Q117" i="2"/>
  <c r="S117" i="2" s="1"/>
  <c r="P117" i="2"/>
  <c r="AG117" i="2" s="1"/>
  <c r="D117" i="2"/>
  <c r="C117" i="2"/>
  <c r="R116" i="2"/>
  <c r="Q116" i="2"/>
  <c r="S116" i="2" s="1"/>
  <c r="P116" i="2"/>
  <c r="D116" i="2"/>
  <c r="C116" i="2"/>
  <c r="S115" i="2"/>
  <c r="R115" i="2"/>
  <c r="Q115" i="2"/>
  <c r="P115" i="2"/>
  <c r="AG115" i="2" s="1"/>
  <c r="D115" i="2"/>
  <c r="C115" i="2"/>
  <c r="R114" i="2"/>
  <c r="Q114" i="2"/>
  <c r="S114" i="2" s="1"/>
  <c r="P114" i="2"/>
  <c r="D114" i="2"/>
  <c r="C114" i="2"/>
  <c r="R113" i="2"/>
  <c r="Q113" i="2"/>
  <c r="S113" i="2" s="1"/>
  <c r="P113" i="2"/>
  <c r="AG113" i="2" s="1"/>
  <c r="D113" i="2"/>
  <c r="C113" i="2"/>
  <c r="R112" i="2"/>
  <c r="Q112" i="2"/>
  <c r="S112" i="2" s="1"/>
  <c r="P112" i="2"/>
  <c r="AG112" i="2" s="1"/>
  <c r="D112" i="2"/>
  <c r="C112" i="2"/>
  <c r="R111" i="2"/>
  <c r="Q111" i="2"/>
  <c r="S111" i="2" s="1"/>
  <c r="P111" i="2"/>
  <c r="D111" i="2"/>
  <c r="C111" i="2"/>
  <c r="S110" i="2"/>
  <c r="R110" i="2"/>
  <c r="Q110" i="2"/>
  <c r="P110" i="2"/>
  <c r="AG110" i="2" s="1"/>
  <c r="D110" i="2"/>
  <c r="C110" i="2"/>
  <c r="R109" i="2"/>
  <c r="Q109" i="2"/>
  <c r="S109" i="2" s="1"/>
  <c r="P109" i="2"/>
  <c r="D109" i="2"/>
  <c r="C109" i="2"/>
  <c r="S108" i="2"/>
  <c r="R108" i="2"/>
  <c r="Q108" i="2"/>
  <c r="P108" i="2"/>
  <c r="D108" i="2"/>
  <c r="C108" i="2"/>
  <c r="R107" i="2"/>
  <c r="Q107" i="2"/>
  <c r="S107" i="2" s="1"/>
  <c r="P107" i="2"/>
  <c r="AG107" i="2" s="1"/>
  <c r="D107" i="2"/>
  <c r="C107" i="2"/>
  <c r="R106" i="2"/>
  <c r="Q106" i="2"/>
  <c r="S106" i="2" s="1"/>
  <c r="P106" i="2"/>
  <c r="D106" i="2"/>
  <c r="C106" i="2"/>
  <c r="R105" i="2"/>
  <c r="Q105" i="2"/>
  <c r="S105" i="2" s="1"/>
  <c r="P105" i="2"/>
  <c r="D105" i="2"/>
  <c r="C105" i="2"/>
  <c r="S104" i="2"/>
  <c r="R104" i="2"/>
  <c r="Q104" i="2"/>
  <c r="P104" i="2"/>
  <c r="D104" i="2"/>
  <c r="C104" i="2"/>
  <c r="Y103" i="2"/>
  <c r="V103" i="2"/>
  <c r="U103" i="2"/>
  <c r="T103" i="2"/>
  <c r="O103" i="2"/>
  <c r="N103" i="2"/>
  <c r="M103" i="2"/>
  <c r="L103" i="2"/>
  <c r="K103" i="2"/>
  <c r="J103" i="2"/>
  <c r="I103" i="2"/>
  <c r="H103" i="2"/>
  <c r="G103" i="2"/>
  <c r="F103" i="2"/>
  <c r="R102" i="2"/>
  <c r="Q102" i="2"/>
  <c r="S102" i="2" s="1"/>
  <c r="P102" i="2"/>
  <c r="AG102" i="2" s="1"/>
  <c r="D102" i="2"/>
  <c r="C102" i="2"/>
  <c r="R101" i="2"/>
  <c r="Q101" i="2"/>
  <c r="S101" i="2" s="1"/>
  <c r="P101" i="2"/>
  <c r="AG101" i="2" s="1"/>
  <c r="D101" i="2"/>
  <c r="C101" i="2"/>
  <c r="R100" i="2"/>
  <c r="Q100" i="2"/>
  <c r="S100" i="2" s="1"/>
  <c r="P100" i="2"/>
  <c r="D100" i="2"/>
  <c r="C100" i="2"/>
  <c r="S99" i="2"/>
  <c r="R99" i="2"/>
  <c r="Q99" i="2"/>
  <c r="P99" i="2"/>
  <c r="AG99" i="2" s="1"/>
  <c r="D99" i="2"/>
  <c r="C99" i="2"/>
  <c r="R98" i="2"/>
  <c r="Q98" i="2"/>
  <c r="S98" i="2" s="1"/>
  <c r="P98" i="2"/>
  <c r="D98" i="2"/>
  <c r="C98" i="2"/>
  <c r="R97" i="2"/>
  <c r="Q97" i="2"/>
  <c r="S97" i="2" s="1"/>
  <c r="P97" i="2"/>
  <c r="D97" i="2"/>
  <c r="C97" i="2"/>
  <c r="S96" i="2"/>
  <c r="R96" i="2"/>
  <c r="Q96" i="2"/>
  <c r="P96" i="2"/>
  <c r="AG96" i="2" s="1"/>
  <c r="D96" i="2"/>
  <c r="C96" i="2"/>
  <c r="R95" i="2"/>
  <c r="Q95" i="2"/>
  <c r="Q103" i="2" s="1"/>
  <c r="P95" i="2"/>
  <c r="D95" i="2"/>
  <c r="C95" i="2"/>
  <c r="Y94" i="2"/>
  <c r="X94" i="2"/>
  <c r="W94" i="2"/>
  <c r="V94" i="2"/>
  <c r="U94" i="2"/>
  <c r="T94" i="2"/>
  <c r="O94" i="2"/>
  <c r="N94" i="2"/>
  <c r="M94" i="2"/>
  <c r="L94" i="2"/>
  <c r="K94" i="2"/>
  <c r="J94" i="2"/>
  <c r="I94" i="2"/>
  <c r="H94" i="2"/>
  <c r="G94" i="2"/>
  <c r="F94" i="2"/>
  <c r="R93" i="2"/>
  <c r="Q93" i="2"/>
  <c r="S93" i="2" s="1"/>
  <c r="P93" i="2"/>
  <c r="D93" i="2"/>
  <c r="C93" i="2"/>
  <c r="R92" i="2"/>
  <c r="Q92" i="2"/>
  <c r="S92" i="2" s="1"/>
  <c r="P92" i="2"/>
  <c r="AG92" i="2" s="1"/>
  <c r="D92" i="2"/>
  <c r="C92" i="2"/>
  <c r="R91" i="2"/>
  <c r="Q91" i="2"/>
  <c r="P91" i="2"/>
  <c r="P94" i="2" s="1"/>
  <c r="D91" i="2"/>
  <c r="C91" i="2"/>
  <c r="Y90" i="2"/>
  <c r="V90" i="2"/>
  <c r="U90" i="2"/>
  <c r="T90" i="2"/>
  <c r="O90" i="2"/>
  <c r="N90" i="2"/>
  <c r="M90" i="2"/>
  <c r="L90" i="2"/>
  <c r="K90" i="2"/>
  <c r="J90" i="2"/>
  <c r="I90" i="2"/>
  <c r="H90" i="2"/>
  <c r="G90" i="2"/>
  <c r="F90" i="2"/>
  <c r="R89" i="2"/>
  <c r="Q89" i="2"/>
  <c r="S89" i="2" s="1"/>
  <c r="P89" i="2"/>
  <c r="AG89" i="2" s="1"/>
  <c r="D89" i="2"/>
  <c r="C89" i="2"/>
  <c r="R88" i="2"/>
  <c r="Q88" i="2"/>
  <c r="S88" i="2" s="1"/>
  <c r="P88" i="2"/>
  <c r="AG88" i="2" s="1"/>
  <c r="D88" i="2"/>
  <c r="C88" i="2"/>
  <c r="R87" i="2"/>
  <c r="Q87" i="2"/>
  <c r="S87" i="2" s="1"/>
  <c r="P87" i="2"/>
  <c r="D87" i="2"/>
  <c r="C87" i="2"/>
  <c r="R86" i="2"/>
  <c r="Q86" i="2"/>
  <c r="S86" i="2" s="1"/>
  <c r="P86" i="2"/>
  <c r="AG86" i="2" s="1"/>
  <c r="D86" i="2"/>
  <c r="C86" i="2"/>
  <c r="R85" i="2"/>
  <c r="Q85" i="2"/>
  <c r="S85" i="2" s="1"/>
  <c r="P85" i="2"/>
  <c r="D85" i="2"/>
  <c r="C85" i="2"/>
  <c r="R84" i="2"/>
  <c r="Q84" i="2"/>
  <c r="S84" i="2" s="1"/>
  <c r="P84" i="2"/>
  <c r="D84" i="2"/>
  <c r="C84" i="2"/>
  <c r="Q83" i="2"/>
  <c r="S83" i="2" s="1"/>
  <c r="P83" i="2"/>
  <c r="D83" i="2"/>
  <c r="C83" i="2"/>
  <c r="R82" i="2"/>
  <c r="Q82" i="2"/>
  <c r="S82" i="2" s="1"/>
  <c r="P82" i="2"/>
  <c r="D82" i="2"/>
  <c r="C82" i="2"/>
  <c r="R81" i="2"/>
  <c r="Q81" i="2"/>
  <c r="P81" i="2"/>
  <c r="AG81" i="2" s="1"/>
  <c r="D81" i="2"/>
  <c r="C81" i="2"/>
  <c r="S80" i="2"/>
  <c r="R80" i="2"/>
  <c r="Q80" i="2"/>
  <c r="P80" i="2"/>
  <c r="D80" i="2"/>
  <c r="C80" i="2"/>
  <c r="R79" i="2"/>
  <c r="Q79" i="2"/>
  <c r="Q90" i="2" s="1"/>
  <c r="P79" i="2"/>
  <c r="D79" i="2"/>
  <c r="C79" i="2"/>
  <c r="Y78" i="2"/>
  <c r="Q78" i="2"/>
  <c r="AG78" i="2" s="1"/>
  <c r="Y77" i="2"/>
  <c r="Y76" i="2"/>
  <c r="V76" i="2"/>
  <c r="U76" i="2"/>
  <c r="T76" i="2"/>
  <c r="O76" i="2"/>
  <c r="N76" i="2"/>
  <c r="M76" i="2"/>
  <c r="L76" i="2"/>
  <c r="K76" i="2"/>
  <c r="J76" i="2"/>
  <c r="I76" i="2"/>
  <c r="H76" i="2"/>
  <c r="G76" i="2"/>
  <c r="F76" i="2"/>
  <c r="S75" i="2"/>
  <c r="R75" i="2"/>
  <c r="Q75" i="2"/>
  <c r="P75" i="2"/>
  <c r="AG75" i="2" s="1"/>
  <c r="D75" i="2"/>
  <c r="C75" i="2"/>
  <c r="R74" i="2"/>
  <c r="Q74" i="2"/>
  <c r="S74" i="2" s="1"/>
  <c r="P74" i="2"/>
  <c r="D74" i="2"/>
  <c r="C74" i="2"/>
  <c r="R73" i="2"/>
  <c r="R76" i="2" s="1"/>
  <c r="Q73" i="2"/>
  <c r="P73" i="2"/>
  <c r="D73" i="2"/>
  <c r="C73" i="2"/>
  <c r="Y72" i="2"/>
  <c r="X72" i="2"/>
  <c r="W72" i="2"/>
  <c r="V72" i="2"/>
  <c r="U72" i="2"/>
  <c r="T72" i="2"/>
  <c r="O72" i="2"/>
  <c r="N72" i="2"/>
  <c r="M72" i="2"/>
  <c r="L72" i="2"/>
  <c r="K72" i="2"/>
  <c r="J72" i="2"/>
  <c r="I72" i="2"/>
  <c r="H72" i="2"/>
  <c r="G72" i="2"/>
  <c r="F72" i="2"/>
  <c r="R71" i="2"/>
  <c r="Q71" i="2"/>
  <c r="S71" i="2" s="1"/>
  <c r="P71" i="2"/>
  <c r="AG71" i="2" s="1"/>
  <c r="D71" i="2"/>
  <c r="C71" i="2"/>
  <c r="R70" i="2"/>
  <c r="Q70" i="2"/>
  <c r="P70" i="2"/>
  <c r="AG70" i="2" s="1"/>
  <c r="D70" i="2"/>
  <c r="C70" i="2"/>
  <c r="Y69" i="2"/>
  <c r="V69" i="2"/>
  <c r="U69" i="2"/>
  <c r="T69" i="2"/>
  <c r="O69" i="2"/>
  <c r="N69" i="2"/>
  <c r="M69" i="2"/>
  <c r="L69" i="2"/>
  <c r="K69" i="2"/>
  <c r="J69" i="2"/>
  <c r="I69" i="2"/>
  <c r="H69" i="2"/>
  <c r="G69" i="2"/>
  <c r="F69" i="2"/>
  <c r="R68" i="2"/>
  <c r="Q68" i="2"/>
  <c r="S68" i="2" s="1"/>
  <c r="P68" i="2"/>
  <c r="D68" i="2"/>
  <c r="C68" i="2"/>
  <c r="R67" i="2"/>
  <c r="Q67" i="2"/>
  <c r="S67" i="2" s="1"/>
  <c r="P67" i="2"/>
  <c r="AG67" i="2" s="1"/>
  <c r="D67" i="2"/>
  <c r="C67" i="2"/>
  <c r="R66" i="2"/>
  <c r="R69" i="2" s="1"/>
  <c r="Q66" i="2"/>
  <c r="S66" i="2" s="1"/>
  <c r="S69" i="2" s="1"/>
  <c r="P66" i="2"/>
  <c r="D66" i="2"/>
  <c r="C66" i="2"/>
  <c r="Y65" i="2"/>
  <c r="V65" i="2"/>
  <c r="U65" i="2"/>
  <c r="T65" i="2"/>
  <c r="O65" i="2"/>
  <c r="N65" i="2"/>
  <c r="M65" i="2"/>
  <c r="L65" i="2"/>
  <c r="K65" i="2"/>
  <c r="J65" i="2"/>
  <c r="I65" i="2"/>
  <c r="H65" i="2"/>
  <c r="G65" i="2"/>
  <c r="F65" i="2"/>
  <c r="R64" i="2"/>
  <c r="Q64" i="2"/>
  <c r="S64" i="2" s="1"/>
  <c r="P64" i="2"/>
  <c r="D64" i="2"/>
  <c r="C64" i="2"/>
  <c r="R63" i="2"/>
  <c r="Q63" i="2"/>
  <c r="S63" i="2" s="1"/>
  <c r="P63" i="2"/>
  <c r="D63" i="2"/>
  <c r="C63" i="2"/>
  <c r="R62" i="2"/>
  <c r="Q62" i="2"/>
  <c r="S62" i="2" s="1"/>
  <c r="P62" i="2"/>
  <c r="AG62" i="2" s="1"/>
  <c r="D62" i="2"/>
  <c r="C62" i="2"/>
  <c r="R61" i="2"/>
  <c r="Q61" i="2"/>
  <c r="S61" i="2" s="1"/>
  <c r="P61" i="2"/>
  <c r="D61" i="2"/>
  <c r="C61" i="2"/>
  <c r="R60" i="2"/>
  <c r="Q60" i="2"/>
  <c r="S60" i="2" s="1"/>
  <c r="P60" i="2"/>
  <c r="D60" i="2"/>
  <c r="C60" i="2"/>
  <c r="Q59" i="2"/>
  <c r="S59" i="2" s="1"/>
  <c r="P59" i="2"/>
  <c r="D59" i="2"/>
  <c r="C59" i="2"/>
  <c r="R58" i="2"/>
  <c r="Q58" i="2"/>
  <c r="S58" i="2" s="1"/>
  <c r="P58" i="2"/>
  <c r="AG58" i="2" s="1"/>
  <c r="D58" i="2"/>
  <c r="C58" i="2"/>
  <c r="R57" i="2"/>
  <c r="Q57" i="2"/>
  <c r="S57" i="2" s="1"/>
  <c r="P57" i="2"/>
  <c r="D57" i="2"/>
  <c r="C57" i="2"/>
  <c r="R56" i="2"/>
  <c r="Q56" i="2"/>
  <c r="S56" i="2" s="1"/>
  <c r="P56" i="2"/>
  <c r="D56" i="2"/>
  <c r="C56" i="2"/>
  <c r="R55" i="2"/>
  <c r="Q55" i="2"/>
  <c r="S55" i="2" s="1"/>
  <c r="P55" i="2"/>
  <c r="D55" i="2"/>
  <c r="C55" i="2"/>
  <c r="R54" i="2"/>
  <c r="Q54" i="2"/>
  <c r="S54" i="2" s="1"/>
  <c r="P54" i="2"/>
  <c r="AG54" i="2" s="1"/>
  <c r="D54" i="2"/>
  <c r="C54" i="2"/>
  <c r="S53" i="2"/>
  <c r="R53" i="2"/>
  <c r="Q53" i="2"/>
  <c r="P53" i="2"/>
  <c r="AG53" i="2" s="1"/>
  <c r="D53" i="2"/>
  <c r="C53" i="2"/>
  <c r="R52" i="2"/>
  <c r="Q52" i="2"/>
  <c r="P52" i="2"/>
  <c r="D52" i="2"/>
  <c r="C52" i="2"/>
  <c r="T51" i="2"/>
  <c r="S51" i="2"/>
  <c r="R50" i="2"/>
  <c r="R51" i="2" s="1"/>
  <c r="Q50" i="2"/>
  <c r="Q51" i="2" s="1"/>
  <c r="P50" i="2"/>
  <c r="P51" i="2" s="1"/>
  <c r="D50" i="2"/>
  <c r="C50" i="2"/>
  <c r="Y49" i="2"/>
  <c r="V49" i="2"/>
  <c r="U49" i="2"/>
  <c r="T49" i="2"/>
  <c r="O49" i="2"/>
  <c r="N49" i="2"/>
  <c r="M49" i="2"/>
  <c r="L49" i="2"/>
  <c r="K49" i="2"/>
  <c r="J49" i="2"/>
  <c r="I49" i="2"/>
  <c r="H49" i="2"/>
  <c r="G49" i="2"/>
  <c r="F49" i="2"/>
  <c r="R48" i="2"/>
  <c r="Q48" i="2"/>
  <c r="S48" i="2" s="1"/>
  <c r="P48" i="2"/>
  <c r="AG48" i="2" s="1"/>
  <c r="D48" i="2"/>
  <c r="C48" i="2"/>
  <c r="R47" i="2"/>
  <c r="Q47" i="2"/>
  <c r="S47" i="2" s="1"/>
  <c r="P47" i="2"/>
  <c r="D47" i="2"/>
  <c r="C47" i="2"/>
  <c r="S46" i="2"/>
  <c r="R46" i="2"/>
  <c r="Q46" i="2"/>
  <c r="P46" i="2"/>
  <c r="D46" i="2"/>
  <c r="C46" i="2"/>
  <c r="Y45" i="2"/>
  <c r="V45" i="2"/>
  <c r="U45" i="2"/>
  <c r="T45" i="2"/>
  <c r="O45" i="2"/>
  <c r="N45" i="2"/>
  <c r="M45" i="2"/>
  <c r="L45" i="2"/>
  <c r="K45" i="2"/>
  <c r="J45" i="2"/>
  <c r="I45" i="2"/>
  <c r="H45" i="2"/>
  <c r="G45" i="2"/>
  <c r="F45" i="2"/>
  <c r="S44" i="2"/>
  <c r="R44" i="2"/>
  <c r="Q44" i="2"/>
  <c r="P44" i="2"/>
  <c r="D44" i="2"/>
  <c r="C44" i="2"/>
  <c r="R43" i="2"/>
  <c r="Q43" i="2"/>
  <c r="S43" i="2" s="1"/>
  <c r="P43" i="2"/>
  <c r="AG43" i="2" s="1"/>
  <c r="D43" i="2"/>
  <c r="C43" i="2"/>
  <c r="P42" i="2"/>
  <c r="R41" i="2"/>
  <c r="Q41" i="2"/>
  <c r="S41" i="2" s="1"/>
  <c r="P41" i="2"/>
  <c r="D41" i="2"/>
  <c r="C41" i="2"/>
  <c r="R40" i="2"/>
  <c r="Q40" i="2"/>
  <c r="S40" i="2" s="1"/>
  <c r="P40" i="2"/>
  <c r="AG40" i="2" s="1"/>
  <c r="D40" i="2"/>
  <c r="C40" i="2"/>
  <c r="R39" i="2"/>
  <c r="Q39" i="2"/>
  <c r="S39" i="2" s="1"/>
  <c r="P39" i="2"/>
  <c r="AG39" i="2" s="1"/>
  <c r="D39" i="2"/>
  <c r="C39" i="2"/>
  <c r="S38" i="2"/>
  <c r="R38" i="2"/>
  <c r="Q38" i="2"/>
  <c r="P38" i="2"/>
  <c r="AG38" i="2" s="1"/>
  <c r="D38" i="2"/>
  <c r="C38" i="2"/>
  <c r="R37" i="2"/>
  <c r="Q37" i="2"/>
  <c r="S37" i="2" s="1"/>
  <c r="P37" i="2"/>
  <c r="AG37" i="2" s="1"/>
  <c r="D37" i="2"/>
  <c r="C37" i="2"/>
  <c r="Q36" i="2"/>
  <c r="S36" i="2" s="1"/>
  <c r="P36" i="2"/>
  <c r="AG36" i="2" s="1"/>
  <c r="D36" i="2"/>
  <c r="C36" i="2"/>
  <c r="R35" i="2"/>
  <c r="Q35" i="2"/>
  <c r="S35" i="2" s="1"/>
  <c r="P35" i="2"/>
  <c r="D35" i="2"/>
  <c r="C35" i="2"/>
  <c r="R34" i="2"/>
  <c r="Q34" i="2"/>
  <c r="S34" i="2" s="1"/>
  <c r="P34" i="2"/>
  <c r="AG34" i="2" s="1"/>
  <c r="D34" i="2"/>
  <c r="C34" i="2"/>
  <c r="R33" i="2"/>
  <c r="Q33" i="2"/>
  <c r="S33" i="2" s="1"/>
  <c r="P33" i="2"/>
  <c r="AG33" i="2" s="1"/>
  <c r="D33" i="2"/>
  <c r="C33" i="2"/>
  <c r="R32" i="2"/>
  <c r="Q32" i="2"/>
  <c r="S32" i="2" s="1"/>
  <c r="P32" i="2"/>
  <c r="D32" i="2"/>
  <c r="C32" i="2"/>
  <c r="S31" i="2"/>
  <c r="Q31" i="2"/>
  <c r="P31" i="2"/>
  <c r="AG31" i="2" s="1"/>
  <c r="D31" i="2"/>
  <c r="C31" i="2"/>
  <c r="R30" i="2"/>
  <c r="Q30" i="2"/>
  <c r="S30" i="2" s="1"/>
  <c r="P30" i="2"/>
  <c r="AG30" i="2" s="1"/>
  <c r="D30" i="2"/>
  <c r="C30" i="2"/>
  <c r="R29" i="2"/>
  <c r="Q29" i="2"/>
  <c r="AG29" i="2" s="1"/>
  <c r="P29" i="2"/>
  <c r="D29" i="2"/>
  <c r="C29" i="2"/>
  <c r="R28" i="2"/>
  <c r="Q28" i="2"/>
  <c r="S28" i="2" s="1"/>
  <c r="P28" i="2"/>
  <c r="AG28" i="2" s="1"/>
  <c r="D28" i="2"/>
  <c r="C28" i="2"/>
  <c r="R27" i="2"/>
  <c r="Q27" i="2"/>
  <c r="S27" i="2" s="1"/>
  <c r="P27" i="2"/>
  <c r="AG27" i="2" s="1"/>
  <c r="D27" i="2"/>
  <c r="C27" i="2"/>
  <c r="R26" i="2"/>
  <c r="Q26" i="2"/>
  <c r="P26" i="2"/>
  <c r="D26" i="2"/>
  <c r="C26" i="2"/>
  <c r="V25" i="2"/>
  <c r="U25" i="2"/>
  <c r="T25" i="2"/>
  <c r="S24" i="2"/>
  <c r="R24" i="2"/>
  <c r="Q24" i="2"/>
  <c r="P24" i="2"/>
  <c r="D24" i="2"/>
  <c r="C24" i="2"/>
  <c r="R23" i="2"/>
  <c r="Q23" i="2"/>
  <c r="S23" i="2" s="1"/>
  <c r="P23" i="2"/>
  <c r="D23" i="2"/>
  <c r="C23" i="2"/>
  <c r="R22" i="2"/>
  <c r="Q22" i="2"/>
  <c r="S22" i="2" s="1"/>
  <c r="P22" i="2"/>
  <c r="AG22" i="2" s="1"/>
  <c r="D22" i="2"/>
  <c r="C22" i="2"/>
  <c r="S21" i="2"/>
  <c r="R21" i="2"/>
  <c r="R25" i="2" s="1"/>
  <c r="Q21" i="2"/>
  <c r="P21" i="2"/>
  <c r="D21" i="2"/>
  <c r="C21" i="2"/>
  <c r="Y20" i="2"/>
  <c r="V20" i="2"/>
  <c r="U20" i="2"/>
  <c r="T20" i="2"/>
  <c r="N20" i="2"/>
  <c r="M20" i="2"/>
  <c r="L20" i="2"/>
  <c r="I20" i="2"/>
  <c r="G20" i="2"/>
  <c r="F20" i="2"/>
  <c r="S19" i="2"/>
  <c r="R19" i="2"/>
  <c r="Q19" i="2"/>
  <c r="P19" i="2"/>
  <c r="D19" i="2"/>
  <c r="C19" i="2"/>
  <c r="R18" i="2"/>
  <c r="Q18" i="2"/>
  <c r="S18" i="2" s="1"/>
  <c r="P18" i="2"/>
  <c r="D18" i="2"/>
  <c r="C18" i="2"/>
  <c r="R17" i="2"/>
  <c r="Q17" i="2"/>
  <c r="S17" i="2" s="1"/>
  <c r="P17" i="2"/>
  <c r="D17" i="2"/>
  <c r="C17" i="2"/>
  <c r="S16" i="2"/>
  <c r="R16" i="2"/>
  <c r="Q16" i="2"/>
  <c r="P16" i="2"/>
  <c r="AG16" i="2" s="1"/>
  <c r="D16" i="2"/>
  <c r="C16" i="2"/>
  <c r="R15" i="2"/>
  <c r="Q15" i="2"/>
  <c r="S15" i="2" s="1"/>
  <c r="P15" i="2"/>
  <c r="D15" i="2"/>
  <c r="C15" i="2"/>
  <c r="R14" i="2"/>
  <c r="Q14" i="2"/>
  <c r="S14" i="2" s="1"/>
  <c r="P14" i="2"/>
  <c r="D14" i="2"/>
  <c r="C14" i="2"/>
  <c r="S13" i="2"/>
  <c r="R13" i="2"/>
  <c r="Q13" i="2"/>
  <c r="P13" i="2"/>
  <c r="AG13" i="2" s="1"/>
  <c r="D13" i="2"/>
  <c r="C13" i="2"/>
  <c r="R12" i="2"/>
  <c r="Q12" i="2"/>
  <c r="S12" i="2" s="1"/>
  <c r="P12" i="2"/>
  <c r="D12" i="2"/>
  <c r="C12" i="2"/>
  <c r="R11" i="2"/>
  <c r="Q11" i="2"/>
  <c r="P11" i="2"/>
  <c r="AG11" i="2" s="1"/>
  <c r="D11" i="2"/>
  <c r="C11" i="2"/>
  <c r="R10" i="2"/>
  <c r="Q10" i="2"/>
  <c r="S10" i="2" s="1"/>
  <c r="P10" i="2"/>
  <c r="AG10" i="2" s="1"/>
  <c r="D10" i="2"/>
  <c r="C10" i="2"/>
  <c r="R9" i="2"/>
  <c r="Q9" i="2"/>
  <c r="S9" i="2" s="1"/>
  <c r="P9" i="2"/>
  <c r="D9" i="2"/>
  <c r="C9" i="2"/>
  <c r="R8" i="2"/>
  <c r="Q8" i="2"/>
  <c r="S8" i="2" s="1"/>
  <c r="P8" i="2"/>
  <c r="AG8" i="2" s="1"/>
  <c r="D8" i="2"/>
  <c r="C8" i="2"/>
  <c r="R7" i="2"/>
  <c r="Q7" i="2"/>
  <c r="P7" i="2"/>
  <c r="AG7" i="2" s="1"/>
  <c r="D7" i="2"/>
  <c r="C7" i="2"/>
  <c r="R6" i="2"/>
  <c r="Q6" i="2"/>
  <c r="S6" i="2" s="1"/>
  <c r="P6" i="2"/>
  <c r="D6" i="2"/>
  <c r="C6" i="2"/>
  <c r="R5" i="2"/>
  <c r="Q5" i="2"/>
  <c r="P5" i="2"/>
  <c r="D5" i="2"/>
  <c r="C5" i="2"/>
  <c r="Y4" i="2"/>
  <c r="X4" i="2"/>
  <c r="R4" i="2"/>
  <c r="Q4" i="2"/>
  <c r="Q20" i="2" s="1"/>
  <c r="P4" i="2"/>
  <c r="O4" i="2"/>
  <c r="O20" i="2" s="1"/>
  <c r="J4" i="2"/>
  <c r="J20" i="2" s="1"/>
  <c r="H4" i="2"/>
  <c r="H20" i="2" s="1"/>
  <c r="D4" i="2"/>
  <c r="C4" i="2"/>
  <c r="AG3" i="2"/>
  <c r="Y3" i="2"/>
  <c r="U349" i="1"/>
  <c r="T349" i="1"/>
  <c r="N349" i="1"/>
  <c r="M349" i="1"/>
  <c r="L349" i="1"/>
  <c r="G349" i="1"/>
  <c r="F349" i="1"/>
  <c r="U348" i="1"/>
  <c r="R348" i="1"/>
  <c r="Q348" i="1"/>
  <c r="V348" i="1" s="1"/>
  <c r="P348" i="1"/>
  <c r="W348" i="1" s="1"/>
  <c r="O348" i="1"/>
  <c r="K348" i="1"/>
  <c r="J348" i="1"/>
  <c r="D348" i="1"/>
  <c r="C348" i="1"/>
  <c r="U347" i="1"/>
  <c r="R347" i="1"/>
  <c r="Q347" i="1"/>
  <c r="P347" i="1"/>
  <c r="W347" i="1" s="1"/>
  <c r="O347" i="1"/>
  <c r="J347" i="1"/>
  <c r="D347" i="1"/>
  <c r="C347" i="1"/>
  <c r="U346" i="1"/>
  <c r="R346" i="1"/>
  <c r="Q346" i="1"/>
  <c r="Q349" i="1" s="1"/>
  <c r="P346" i="1"/>
  <c r="O346" i="1"/>
  <c r="O349" i="1" s="1"/>
  <c r="J346" i="1"/>
  <c r="H346" i="1"/>
  <c r="H349" i="1" s="1"/>
  <c r="D346" i="1"/>
  <c r="C346" i="1"/>
  <c r="W345" i="1"/>
  <c r="V345" i="1"/>
  <c r="U345" i="1"/>
  <c r="U344" i="1"/>
  <c r="T344" i="1"/>
  <c r="O344" i="1"/>
  <c r="N344" i="1"/>
  <c r="M344" i="1"/>
  <c r="L344" i="1"/>
  <c r="K344" i="1"/>
  <c r="J344" i="1"/>
  <c r="I344" i="1"/>
  <c r="H344" i="1"/>
  <c r="G344" i="1"/>
  <c r="F344" i="1"/>
  <c r="S343" i="1"/>
  <c r="R343" i="1"/>
  <c r="Q343" i="1"/>
  <c r="P343" i="1"/>
  <c r="W343" i="1" s="1"/>
  <c r="D343" i="1"/>
  <c r="C343" i="1"/>
  <c r="R342" i="1"/>
  <c r="Q342" i="1"/>
  <c r="S342" i="1" s="1"/>
  <c r="P342" i="1"/>
  <c r="D342" i="1"/>
  <c r="C342" i="1"/>
  <c r="R341" i="1"/>
  <c r="Q341" i="1"/>
  <c r="S341" i="1" s="1"/>
  <c r="P341" i="1"/>
  <c r="D341" i="1"/>
  <c r="C341" i="1"/>
  <c r="R340" i="1"/>
  <c r="Q340" i="1"/>
  <c r="S340" i="1" s="1"/>
  <c r="P340" i="1"/>
  <c r="W340" i="1" s="1"/>
  <c r="D340" i="1"/>
  <c r="C340" i="1"/>
  <c r="R339" i="1"/>
  <c r="Q339" i="1"/>
  <c r="S339" i="1" s="1"/>
  <c r="P339" i="1"/>
  <c r="D339" i="1"/>
  <c r="C339" i="1"/>
  <c r="S338" i="1"/>
  <c r="R338" i="1"/>
  <c r="Q338" i="1"/>
  <c r="P338" i="1"/>
  <c r="W338" i="1" s="1"/>
  <c r="D338" i="1"/>
  <c r="C338" i="1"/>
  <c r="Q337" i="1"/>
  <c r="S337" i="1" s="1"/>
  <c r="P337" i="1"/>
  <c r="W337" i="1" s="1"/>
  <c r="D337" i="1"/>
  <c r="C337" i="1"/>
  <c r="R336" i="1"/>
  <c r="Q336" i="1"/>
  <c r="S336" i="1" s="1"/>
  <c r="P336" i="1"/>
  <c r="W336" i="1" s="1"/>
  <c r="D336" i="1"/>
  <c r="C336" i="1"/>
  <c r="S335" i="1"/>
  <c r="R335" i="1"/>
  <c r="Q335" i="1"/>
  <c r="P335" i="1"/>
  <c r="W335" i="1" s="1"/>
  <c r="D335" i="1"/>
  <c r="C335" i="1"/>
  <c r="R334" i="1"/>
  <c r="Q334" i="1"/>
  <c r="S334" i="1" s="1"/>
  <c r="P334" i="1"/>
  <c r="W334" i="1" s="1"/>
  <c r="D334" i="1"/>
  <c r="C334" i="1"/>
  <c r="R333" i="1"/>
  <c r="Q333" i="1"/>
  <c r="S333" i="1" s="1"/>
  <c r="P333" i="1"/>
  <c r="W333" i="1" s="1"/>
  <c r="D333" i="1"/>
  <c r="C333" i="1"/>
  <c r="S332" i="1"/>
  <c r="R332" i="1"/>
  <c r="Q332" i="1"/>
  <c r="P332" i="1"/>
  <c r="W332" i="1" s="1"/>
  <c r="D332" i="1"/>
  <c r="C332" i="1"/>
  <c r="R331" i="1"/>
  <c r="Q331" i="1"/>
  <c r="S331" i="1" s="1"/>
  <c r="P331" i="1"/>
  <c r="W331" i="1" s="1"/>
  <c r="D331" i="1"/>
  <c r="C331" i="1"/>
  <c r="R330" i="1"/>
  <c r="Q330" i="1"/>
  <c r="S330" i="1" s="1"/>
  <c r="P330" i="1"/>
  <c r="D330" i="1"/>
  <c r="C330" i="1"/>
  <c r="R329" i="1"/>
  <c r="Q329" i="1"/>
  <c r="P329" i="1"/>
  <c r="D329" i="1"/>
  <c r="C329" i="1"/>
  <c r="W328" i="1"/>
  <c r="V328" i="1"/>
  <c r="U328" i="1"/>
  <c r="U327" i="1"/>
  <c r="T326" i="1"/>
  <c r="O326" i="1"/>
  <c r="N326" i="1"/>
  <c r="M326" i="1"/>
  <c r="L326" i="1"/>
  <c r="K326" i="1"/>
  <c r="J326" i="1"/>
  <c r="I326" i="1"/>
  <c r="H326" i="1"/>
  <c r="G326" i="1"/>
  <c r="F326" i="1"/>
  <c r="W325" i="1"/>
  <c r="V325" i="1"/>
  <c r="V326" i="1" s="1"/>
  <c r="U325" i="1"/>
  <c r="U326" i="1" s="1"/>
  <c r="D324" i="1"/>
  <c r="C324" i="1"/>
  <c r="S323" i="1"/>
  <c r="R323" i="1"/>
  <c r="Q323" i="1"/>
  <c r="P323" i="1"/>
  <c r="W323" i="1" s="1"/>
  <c r="D323" i="1"/>
  <c r="C323" i="1"/>
  <c r="D322" i="1"/>
  <c r="C322" i="1"/>
  <c r="R321" i="1"/>
  <c r="Q321" i="1"/>
  <c r="S321" i="1" s="1"/>
  <c r="P321" i="1"/>
  <c r="D321" i="1"/>
  <c r="C321" i="1"/>
  <c r="R320" i="1"/>
  <c r="Q320" i="1"/>
  <c r="S320" i="1" s="1"/>
  <c r="P320" i="1"/>
  <c r="W320" i="1" s="1"/>
  <c r="D320" i="1"/>
  <c r="C320" i="1"/>
  <c r="D319" i="1"/>
  <c r="C319" i="1"/>
  <c r="D318" i="1"/>
  <c r="C318" i="1"/>
  <c r="R317" i="1"/>
  <c r="Q317" i="1"/>
  <c r="P317" i="1"/>
  <c r="W317" i="1" s="1"/>
  <c r="O317" i="1"/>
  <c r="D317" i="1"/>
  <c r="C317" i="1"/>
  <c r="R316" i="1"/>
  <c r="Q316" i="1"/>
  <c r="S316" i="1" s="1"/>
  <c r="P316" i="1"/>
  <c r="W316" i="1" s="1"/>
  <c r="D316" i="1"/>
  <c r="C316" i="1"/>
  <c r="U315" i="1"/>
  <c r="R315" i="1"/>
  <c r="Q315" i="1"/>
  <c r="V315" i="1" s="1"/>
  <c r="P315" i="1"/>
  <c r="W315" i="1" s="1"/>
  <c r="O315" i="1"/>
  <c r="K315" i="1"/>
  <c r="D315" i="1"/>
  <c r="C315" i="1"/>
  <c r="D314" i="1"/>
  <c r="C314" i="1"/>
  <c r="D313" i="1"/>
  <c r="C313" i="1"/>
  <c r="U312" i="1"/>
  <c r="R312" i="1"/>
  <c r="Q312" i="1"/>
  <c r="V312" i="1" s="1"/>
  <c r="P312" i="1"/>
  <c r="W312" i="1" s="1"/>
  <c r="O312" i="1"/>
  <c r="D312" i="1"/>
  <c r="C312" i="1"/>
  <c r="U311" i="1"/>
  <c r="R311" i="1"/>
  <c r="Q311" i="1"/>
  <c r="Q326" i="1" s="1"/>
  <c r="P311" i="1"/>
  <c r="O311" i="1"/>
  <c r="J311" i="1"/>
  <c r="K311" i="1" s="1"/>
  <c r="H311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U305" i="1"/>
  <c r="T305" i="1"/>
  <c r="N305" i="1"/>
  <c r="M305" i="1"/>
  <c r="L305" i="1"/>
  <c r="G305" i="1"/>
  <c r="F305" i="1"/>
  <c r="W304" i="1"/>
  <c r="V304" i="1"/>
  <c r="U304" i="1"/>
  <c r="D303" i="1"/>
  <c r="C303" i="1"/>
  <c r="D302" i="1"/>
  <c r="C302" i="1"/>
  <c r="U301" i="1"/>
  <c r="R301" i="1"/>
  <c r="Q301" i="1"/>
  <c r="S301" i="1" s="1"/>
  <c r="P301" i="1"/>
  <c r="O301" i="1"/>
  <c r="K301" i="1"/>
  <c r="J301" i="1"/>
  <c r="H301" i="1"/>
  <c r="I301" i="1" s="1"/>
  <c r="I305" i="1" s="1"/>
  <c r="D301" i="1"/>
  <c r="C301" i="1"/>
  <c r="U300" i="1"/>
  <c r="R300" i="1"/>
  <c r="Q300" i="1"/>
  <c r="V300" i="1" s="1"/>
  <c r="P300" i="1"/>
  <c r="W300" i="1" s="1"/>
  <c r="O300" i="1"/>
  <c r="K300" i="1"/>
  <c r="J300" i="1"/>
  <c r="H300" i="1"/>
  <c r="D300" i="1"/>
  <c r="C300" i="1"/>
  <c r="D299" i="1"/>
  <c r="C299" i="1"/>
  <c r="U298" i="1"/>
  <c r="S298" i="1"/>
  <c r="R298" i="1"/>
  <c r="Q298" i="1"/>
  <c r="V298" i="1" s="1"/>
  <c r="P298" i="1"/>
  <c r="O298" i="1"/>
  <c r="J298" i="1"/>
  <c r="K298" i="1" s="1"/>
  <c r="H298" i="1"/>
  <c r="D298" i="1"/>
  <c r="C298" i="1"/>
  <c r="D297" i="1"/>
  <c r="C297" i="1"/>
  <c r="U296" i="1"/>
  <c r="R296" i="1"/>
  <c r="Q296" i="1"/>
  <c r="S296" i="1" s="1"/>
  <c r="P296" i="1"/>
  <c r="W296" i="1" s="1"/>
  <c r="O296" i="1"/>
  <c r="K296" i="1"/>
  <c r="K305" i="1" s="1"/>
  <c r="J296" i="1"/>
  <c r="J305" i="1" s="1"/>
  <c r="H296" i="1"/>
  <c r="H305" i="1" s="1"/>
  <c r="D296" i="1"/>
  <c r="C296" i="1"/>
  <c r="U295" i="1"/>
  <c r="S295" i="1"/>
  <c r="R295" i="1"/>
  <c r="Q295" i="1"/>
  <c r="V295" i="1" s="1"/>
  <c r="P295" i="1"/>
  <c r="O295" i="1"/>
  <c r="J295" i="1"/>
  <c r="K295" i="1" s="1"/>
  <c r="H295" i="1"/>
  <c r="D295" i="1"/>
  <c r="C295" i="1"/>
  <c r="D294" i="1"/>
  <c r="C294" i="1"/>
  <c r="D293" i="1"/>
  <c r="C293" i="1"/>
  <c r="U292" i="1"/>
  <c r="R292" i="1"/>
  <c r="Q292" i="1"/>
  <c r="V292" i="1" s="1"/>
  <c r="P292" i="1"/>
  <c r="O292" i="1"/>
  <c r="D292" i="1"/>
  <c r="C292" i="1"/>
  <c r="U291" i="1"/>
  <c r="R291" i="1"/>
  <c r="Q291" i="1"/>
  <c r="S291" i="1" s="1"/>
  <c r="P291" i="1"/>
  <c r="W291" i="1" s="1"/>
  <c r="J291" i="1"/>
  <c r="K291" i="1" s="1"/>
  <c r="H291" i="1"/>
  <c r="D291" i="1"/>
  <c r="C291" i="1"/>
  <c r="D290" i="1"/>
  <c r="C290" i="1"/>
  <c r="D289" i="1"/>
  <c r="C289" i="1"/>
  <c r="D288" i="1"/>
  <c r="C288" i="1"/>
  <c r="U287" i="1"/>
  <c r="S287" i="1"/>
  <c r="R287" i="1"/>
  <c r="Q287" i="1"/>
  <c r="V287" i="1" s="1"/>
  <c r="P287" i="1"/>
  <c r="P305" i="1" s="1"/>
  <c r="O287" i="1"/>
  <c r="K287" i="1"/>
  <c r="J287" i="1"/>
  <c r="H287" i="1"/>
  <c r="D287" i="1"/>
  <c r="C287" i="1"/>
  <c r="U286" i="1"/>
  <c r="T286" i="1"/>
  <c r="N286" i="1"/>
  <c r="M286" i="1"/>
  <c r="L286" i="1"/>
  <c r="I286" i="1"/>
  <c r="G286" i="1"/>
  <c r="F286" i="1"/>
  <c r="D285" i="1"/>
  <c r="C285" i="1"/>
  <c r="U284" i="1"/>
  <c r="R284" i="1"/>
  <c r="Q284" i="1"/>
  <c r="V284" i="1" s="1"/>
  <c r="P284" i="1"/>
  <c r="W284" i="1" s="1"/>
  <c r="O284" i="1"/>
  <c r="J284" i="1"/>
  <c r="K284" i="1" s="1"/>
  <c r="H284" i="1"/>
  <c r="D284" i="1"/>
  <c r="C284" i="1"/>
  <c r="D283" i="1"/>
  <c r="C283" i="1"/>
  <c r="U282" i="1"/>
  <c r="S282" i="1"/>
  <c r="R282" i="1"/>
  <c r="Q282" i="1"/>
  <c r="V282" i="1" s="1"/>
  <c r="P282" i="1"/>
  <c r="W282" i="1" s="1"/>
  <c r="O282" i="1"/>
  <c r="K282" i="1"/>
  <c r="J282" i="1"/>
  <c r="H282" i="1"/>
  <c r="D282" i="1"/>
  <c r="C282" i="1"/>
  <c r="U281" i="1"/>
  <c r="R281" i="1"/>
  <c r="Q281" i="1"/>
  <c r="V281" i="1" s="1"/>
  <c r="P281" i="1"/>
  <c r="W281" i="1" s="1"/>
  <c r="O281" i="1"/>
  <c r="J281" i="1"/>
  <c r="K281" i="1" s="1"/>
  <c r="H281" i="1"/>
  <c r="D281" i="1"/>
  <c r="C281" i="1"/>
  <c r="U280" i="1"/>
  <c r="R280" i="1"/>
  <c r="Q280" i="1"/>
  <c r="S280" i="1" s="1"/>
  <c r="P280" i="1"/>
  <c r="O280" i="1"/>
  <c r="K280" i="1"/>
  <c r="D280" i="1"/>
  <c r="C280" i="1"/>
  <c r="U279" i="1"/>
  <c r="R279" i="1"/>
  <c r="Q279" i="1"/>
  <c r="V279" i="1" s="1"/>
  <c r="P279" i="1"/>
  <c r="O279" i="1"/>
  <c r="O286" i="1" s="1"/>
  <c r="J279" i="1"/>
  <c r="K279" i="1" s="1"/>
  <c r="K286" i="1" s="1"/>
  <c r="H279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U272" i="1"/>
  <c r="T272" i="1"/>
  <c r="N272" i="1"/>
  <c r="M272" i="1"/>
  <c r="L272" i="1"/>
  <c r="G272" i="1"/>
  <c r="F272" i="1"/>
  <c r="R271" i="1"/>
  <c r="Q271" i="1"/>
  <c r="S271" i="1" s="1"/>
  <c r="P271" i="1"/>
  <c r="W271" i="1" s="1"/>
  <c r="D271" i="1"/>
  <c r="C271" i="1"/>
  <c r="R270" i="1"/>
  <c r="Q270" i="1"/>
  <c r="S270" i="1" s="1"/>
  <c r="P270" i="1"/>
  <c r="D270" i="1"/>
  <c r="C270" i="1"/>
  <c r="D269" i="1"/>
  <c r="C269" i="1"/>
  <c r="R268" i="1"/>
  <c r="Q268" i="1"/>
  <c r="S268" i="1" s="1"/>
  <c r="P268" i="1"/>
  <c r="W268" i="1" s="1"/>
  <c r="D268" i="1"/>
  <c r="C268" i="1"/>
  <c r="R267" i="1"/>
  <c r="Q267" i="1"/>
  <c r="S267" i="1" s="1"/>
  <c r="P267" i="1"/>
  <c r="D267" i="1"/>
  <c r="C267" i="1"/>
  <c r="R266" i="1"/>
  <c r="Q266" i="1"/>
  <c r="S266" i="1" s="1"/>
  <c r="P266" i="1"/>
  <c r="D266" i="1"/>
  <c r="C266" i="1"/>
  <c r="S265" i="1"/>
  <c r="R265" i="1"/>
  <c r="Q265" i="1"/>
  <c r="P265" i="1"/>
  <c r="D265" i="1"/>
  <c r="C265" i="1"/>
  <c r="R264" i="1"/>
  <c r="Q264" i="1"/>
  <c r="S264" i="1" s="1"/>
  <c r="P264" i="1"/>
  <c r="W264" i="1" s="1"/>
  <c r="D264" i="1"/>
  <c r="C264" i="1"/>
  <c r="R263" i="1"/>
  <c r="Q263" i="1"/>
  <c r="S263" i="1" s="1"/>
  <c r="P263" i="1"/>
  <c r="D263" i="1"/>
  <c r="C263" i="1"/>
  <c r="U262" i="1"/>
  <c r="R262" i="1"/>
  <c r="Q262" i="1"/>
  <c r="S262" i="1" s="1"/>
  <c r="P262" i="1"/>
  <c r="O262" i="1"/>
  <c r="J262" i="1"/>
  <c r="K262" i="1" s="1"/>
  <c r="H262" i="1"/>
  <c r="I262" i="1" s="1"/>
  <c r="D262" i="1"/>
  <c r="C262" i="1"/>
  <c r="R261" i="1"/>
  <c r="Q261" i="1"/>
  <c r="P261" i="1"/>
  <c r="W261" i="1" s="1"/>
  <c r="O261" i="1"/>
  <c r="D261" i="1"/>
  <c r="C261" i="1"/>
  <c r="U260" i="1"/>
  <c r="R260" i="1"/>
  <c r="Q260" i="1"/>
  <c r="V260" i="1" s="1"/>
  <c r="P260" i="1"/>
  <c r="O260" i="1"/>
  <c r="O272" i="1" s="1"/>
  <c r="J260" i="1"/>
  <c r="K260" i="1" s="1"/>
  <c r="K272" i="1" s="1"/>
  <c r="I260" i="1"/>
  <c r="I272" i="1" s="1"/>
  <c r="H260" i="1"/>
  <c r="H272" i="1" s="1"/>
  <c r="D260" i="1"/>
  <c r="C260" i="1"/>
  <c r="D259" i="1"/>
  <c r="C259" i="1"/>
  <c r="D258" i="1"/>
  <c r="C258" i="1"/>
  <c r="D257" i="1"/>
  <c r="C257" i="1"/>
  <c r="D256" i="1"/>
  <c r="C256" i="1"/>
  <c r="D255" i="1"/>
  <c r="C255" i="1"/>
  <c r="U254" i="1"/>
  <c r="T254" i="1"/>
  <c r="N254" i="1"/>
  <c r="M254" i="1"/>
  <c r="L254" i="1"/>
  <c r="I254" i="1"/>
  <c r="G254" i="1"/>
  <c r="F254" i="1"/>
  <c r="R253" i="1"/>
  <c r="Q253" i="1"/>
  <c r="S253" i="1" s="1"/>
  <c r="P253" i="1"/>
  <c r="W253" i="1" s="1"/>
  <c r="D253" i="1"/>
  <c r="C253" i="1"/>
  <c r="R252" i="1"/>
  <c r="Q252" i="1"/>
  <c r="S252" i="1" s="1"/>
  <c r="P252" i="1"/>
  <c r="D252" i="1"/>
  <c r="C252" i="1"/>
  <c r="U251" i="1"/>
  <c r="R251" i="1"/>
  <c r="Q251" i="1"/>
  <c r="V251" i="1" s="1"/>
  <c r="P251" i="1"/>
  <c r="W251" i="1" s="1"/>
  <c r="O251" i="1"/>
  <c r="O254" i="1" s="1"/>
  <c r="J251" i="1"/>
  <c r="K251" i="1" s="1"/>
  <c r="K254" i="1" s="1"/>
  <c r="H251" i="1"/>
  <c r="H254" i="1" s="1"/>
  <c r="D251" i="1"/>
  <c r="C251" i="1"/>
  <c r="W250" i="1"/>
  <c r="V250" i="1"/>
  <c r="U250" i="1"/>
  <c r="U249" i="1"/>
  <c r="T249" i="1"/>
  <c r="O249" i="1"/>
  <c r="N249" i="1"/>
  <c r="M249" i="1"/>
  <c r="L249" i="1"/>
  <c r="J249" i="1"/>
  <c r="G249" i="1"/>
  <c r="F249" i="1"/>
  <c r="U248" i="1"/>
  <c r="R248" i="1"/>
  <c r="R249" i="1" s="1"/>
  <c r="Q248" i="1"/>
  <c r="S248" i="1" s="1"/>
  <c r="S249" i="1" s="1"/>
  <c r="P248" i="1"/>
  <c r="P249" i="1" s="1"/>
  <c r="K248" i="1"/>
  <c r="K249" i="1" s="1"/>
  <c r="H248" i="1"/>
  <c r="D248" i="1"/>
  <c r="C248" i="1"/>
  <c r="W247" i="1"/>
  <c r="V247" i="1"/>
  <c r="U247" i="1"/>
  <c r="U246" i="1"/>
  <c r="T246" i="1"/>
  <c r="M246" i="1"/>
  <c r="L246" i="1"/>
  <c r="G246" i="1"/>
  <c r="F246" i="1"/>
  <c r="U245" i="1"/>
  <c r="R245" i="1"/>
  <c r="Q245" i="1"/>
  <c r="V245" i="1" s="1"/>
  <c r="P245" i="1"/>
  <c r="O245" i="1"/>
  <c r="J245" i="1"/>
  <c r="K245" i="1" s="1"/>
  <c r="D245" i="1"/>
  <c r="C245" i="1"/>
  <c r="R244" i="1"/>
  <c r="Q244" i="1"/>
  <c r="P244" i="1"/>
  <c r="W244" i="1" s="1"/>
  <c r="O244" i="1"/>
  <c r="N244" i="1"/>
  <c r="U244" i="1" s="1"/>
  <c r="J244" i="1"/>
  <c r="H244" i="1"/>
  <c r="I244" i="1" s="1"/>
  <c r="I246" i="1" s="1"/>
  <c r="D244" i="1"/>
  <c r="C244" i="1"/>
  <c r="S243" i="1"/>
  <c r="R243" i="1"/>
  <c r="Q243" i="1"/>
  <c r="P243" i="1"/>
  <c r="W243" i="1" s="1"/>
  <c r="D243" i="1"/>
  <c r="C243" i="1"/>
  <c r="R242" i="1"/>
  <c r="Q242" i="1"/>
  <c r="S242" i="1" s="1"/>
  <c r="P242" i="1"/>
  <c r="D242" i="1"/>
  <c r="C242" i="1"/>
  <c r="R241" i="1"/>
  <c r="Q241" i="1"/>
  <c r="S241" i="1" s="1"/>
  <c r="P241" i="1"/>
  <c r="W241" i="1" s="1"/>
  <c r="D241" i="1"/>
  <c r="C241" i="1"/>
  <c r="S240" i="1"/>
  <c r="R240" i="1"/>
  <c r="Q240" i="1"/>
  <c r="P240" i="1"/>
  <c r="W240" i="1" s="1"/>
  <c r="D240" i="1"/>
  <c r="C240" i="1"/>
  <c r="R239" i="1"/>
  <c r="Q239" i="1"/>
  <c r="S239" i="1" s="1"/>
  <c r="P239" i="1"/>
  <c r="D239" i="1"/>
  <c r="C239" i="1"/>
  <c r="R238" i="1"/>
  <c r="Q238" i="1"/>
  <c r="S238" i="1" s="1"/>
  <c r="P238" i="1"/>
  <c r="D238" i="1"/>
  <c r="C238" i="1"/>
  <c r="R237" i="1"/>
  <c r="Q237" i="1"/>
  <c r="S237" i="1" s="1"/>
  <c r="P237" i="1"/>
  <c r="W237" i="1" s="1"/>
  <c r="D237" i="1"/>
  <c r="C237" i="1"/>
  <c r="R236" i="1"/>
  <c r="Q236" i="1"/>
  <c r="S236" i="1" s="1"/>
  <c r="P236" i="1"/>
  <c r="W236" i="1" s="1"/>
  <c r="D236" i="1"/>
  <c r="C236" i="1"/>
  <c r="U235" i="1"/>
  <c r="R235" i="1"/>
  <c r="Q235" i="1"/>
  <c r="V235" i="1" s="1"/>
  <c r="P235" i="1"/>
  <c r="O235" i="1"/>
  <c r="J235" i="1"/>
  <c r="J246" i="1" s="1"/>
  <c r="D235" i="1"/>
  <c r="C235" i="1"/>
  <c r="R234" i="1"/>
  <c r="Q234" i="1"/>
  <c r="S234" i="1" s="1"/>
  <c r="P234" i="1"/>
  <c r="O234" i="1"/>
  <c r="D234" i="1"/>
  <c r="C234" i="1"/>
  <c r="U233" i="1"/>
  <c r="R233" i="1"/>
  <c r="Q233" i="1"/>
  <c r="P233" i="1"/>
  <c r="P246" i="1" s="1"/>
  <c r="O233" i="1"/>
  <c r="O246" i="1" s="1"/>
  <c r="D233" i="1"/>
  <c r="C233" i="1"/>
  <c r="W232" i="1"/>
  <c r="V232" i="1"/>
  <c r="U232" i="1"/>
  <c r="U230" i="1"/>
  <c r="T230" i="1"/>
  <c r="N230" i="1"/>
  <c r="M230" i="1"/>
  <c r="L230" i="1"/>
  <c r="G230" i="1"/>
  <c r="F230" i="1"/>
  <c r="D229" i="1"/>
  <c r="C229" i="1"/>
  <c r="D228" i="1"/>
  <c r="C228" i="1"/>
  <c r="R227" i="1"/>
  <c r="Q227" i="1"/>
  <c r="S227" i="1" s="1"/>
  <c r="P227" i="1"/>
  <c r="W227" i="1" s="1"/>
  <c r="D227" i="1"/>
  <c r="C227" i="1"/>
  <c r="S226" i="1"/>
  <c r="R226" i="1"/>
  <c r="Q226" i="1"/>
  <c r="P226" i="1"/>
  <c r="W226" i="1" s="1"/>
  <c r="D226" i="1"/>
  <c r="C226" i="1"/>
  <c r="R224" i="1"/>
  <c r="Q224" i="1"/>
  <c r="S224" i="1" s="1"/>
  <c r="P224" i="1"/>
  <c r="D224" i="1"/>
  <c r="C224" i="1"/>
  <c r="R223" i="1"/>
  <c r="Q223" i="1"/>
  <c r="S223" i="1" s="1"/>
  <c r="P223" i="1"/>
  <c r="W223" i="1" s="1"/>
  <c r="D223" i="1"/>
  <c r="C223" i="1"/>
  <c r="S222" i="1"/>
  <c r="R222" i="1"/>
  <c r="Q222" i="1"/>
  <c r="P222" i="1"/>
  <c r="W222" i="1" s="1"/>
  <c r="D222" i="1"/>
  <c r="C222" i="1"/>
  <c r="R221" i="1"/>
  <c r="Q221" i="1"/>
  <c r="S221" i="1" s="1"/>
  <c r="P221" i="1"/>
  <c r="D221" i="1"/>
  <c r="C221" i="1"/>
  <c r="R220" i="1"/>
  <c r="Q220" i="1"/>
  <c r="S220" i="1" s="1"/>
  <c r="P220" i="1"/>
  <c r="W220" i="1" s="1"/>
  <c r="D220" i="1"/>
  <c r="C220" i="1"/>
  <c r="R219" i="1"/>
  <c r="Q219" i="1"/>
  <c r="S219" i="1" s="1"/>
  <c r="P219" i="1"/>
  <c r="D219" i="1"/>
  <c r="C219" i="1"/>
  <c r="S218" i="1"/>
  <c r="R218" i="1"/>
  <c r="Q218" i="1"/>
  <c r="P218" i="1"/>
  <c r="D218" i="1"/>
  <c r="C218" i="1"/>
  <c r="R217" i="1"/>
  <c r="Q217" i="1"/>
  <c r="S217" i="1" s="1"/>
  <c r="P217" i="1"/>
  <c r="W217" i="1" s="1"/>
  <c r="D217" i="1"/>
  <c r="C217" i="1"/>
  <c r="R216" i="1"/>
  <c r="Q216" i="1"/>
  <c r="S216" i="1" s="1"/>
  <c r="P216" i="1"/>
  <c r="D216" i="1"/>
  <c r="C216" i="1"/>
  <c r="R215" i="1"/>
  <c r="Q215" i="1"/>
  <c r="S215" i="1" s="1"/>
  <c r="P215" i="1"/>
  <c r="W215" i="1" s="1"/>
  <c r="D215" i="1"/>
  <c r="C215" i="1"/>
  <c r="R214" i="1"/>
  <c r="Q214" i="1"/>
  <c r="S214" i="1" s="1"/>
  <c r="P214" i="1"/>
  <c r="D214" i="1"/>
  <c r="C214" i="1"/>
  <c r="R213" i="1"/>
  <c r="Q213" i="1"/>
  <c r="S213" i="1" s="1"/>
  <c r="P213" i="1"/>
  <c r="D213" i="1"/>
  <c r="C213" i="1"/>
  <c r="R212" i="1"/>
  <c r="Q212" i="1"/>
  <c r="S212" i="1" s="1"/>
  <c r="P212" i="1"/>
  <c r="W212" i="1" s="1"/>
  <c r="D212" i="1"/>
  <c r="C212" i="1"/>
  <c r="R211" i="1"/>
  <c r="Q211" i="1"/>
  <c r="S211" i="1" s="1"/>
  <c r="P211" i="1"/>
  <c r="W211" i="1" s="1"/>
  <c r="D211" i="1"/>
  <c r="C211" i="1"/>
  <c r="R210" i="1"/>
  <c r="Q210" i="1"/>
  <c r="S210" i="1" s="1"/>
  <c r="P210" i="1"/>
  <c r="D210" i="1"/>
  <c r="C210" i="1"/>
  <c r="R209" i="1"/>
  <c r="Q209" i="1"/>
  <c r="S209" i="1" s="1"/>
  <c r="P209" i="1"/>
  <c r="W209" i="1" s="1"/>
  <c r="D209" i="1"/>
  <c r="C209" i="1"/>
  <c r="R208" i="1"/>
  <c r="Q208" i="1"/>
  <c r="S208" i="1" s="1"/>
  <c r="P208" i="1"/>
  <c r="W208" i="1" s="1"/>
  <c r="D208" i="1"/>
  <c r="C208" i="1"/>
  <c r="R207" i="1"/>
  <c r="Q207" i="1"/>
  <c r="S207" i="1" s="1"/>
  <c r="P207" i="1"/>
  <c r="D207" i="1"/>
  <c r="C207" i="1"/>
  <c r="S206" i="1"/>
  <c r="R206" i="1"/>
  <c r="Q206" i="1"/>
  <c r="P206" i="1"/>
  <c r="W206" i="1" s="1"/>
  <c r="D206" i="1"/>
  <c r="C206" i="1"/>
  <c r="R205" i="1"/>
  <c r="Q205" i="1"/>
  <c r="S205" i="1" s="1"/>
  <c r="P205" i="1"/>
  <c r="W205" i="1" s="1"/>
  <c r="D205" i="1"/>
  <c r="C205" i="1"/>
  <c r="R204" i="1"/>
  <c r="Q204" i="1"/>
  <c r="S204" i="1" s="1"/>
  <c r="P204" i="1"/>
  <c r="D204" i="1"/>
  <c r="C204" i="1"/>
  <c r="R203" i="1"/>
  <c r="Q203" i="1"/>
  <c r="S203" i="1" s="1"/>
  <c r="P203" i="1"/>
  <c r="D203" i="1"/>
  <c r="C203" i="1"/>
  <c r="S202" i="1"/>
  <c r="R202" i="1"/>
  <c r="Q202" i="1"/>
  <c r="P202" i="1"/>
  <c r="W202" i="1" s="1"/>
  <c r="D202" i="1"/>
  <c r="C202" i="1"/>
  <c r="R201" i="1"/>
  <c r="Q201" i="1"/>
  <c r="S201" i="1" s="1"/>
  <c r="P201" i="1"/>
  <c r="D201" i="1"/>
  <c r="C201" i="1"/>
  <c r="R200" i="1"/>
  <c r="Q200" i="1"/>
  <c r="S200" i="1" s="1"/>
  <c r="P200" i="1"/>
  <c r="D200" i="1"/>
  <c r="C200" i="1"/>
  <c r="R199" i="1"/>
  <c r="Q199" i="1"/>
  <c r="S199" i="1" s="1"/>
  <c r="P199" i="1"/>
  <c r="W199" i="1" s="1"/>
  <c r="D199" i="1"/>
  <c r="C199" i="1"/>
  <c r="R198" i="1"/>
  <c r="Q198" i="1"/>
  <c r="S198" i="1" s="1"/>
  <c r="P198" i="1"/>
  <c r="W198" i="1" s="1"/>
  <c r="D198" i="1"/>
  <c r="C198" i="1"/>
  <c r="R197" i="1"/>
  <c r="Q197" i="1"/>
  <c r="S197" i="1" s="1"/>
  <c r="P197" i="1"/>
  <c r="D197" i="1"/>
  <c r="C197" i="1"/>
  <c r="D196" i="1"/>
  <c r="C196" i="1"/>
  <c r="D195" i="1"/>
  <c r="C195" i="1"/>
  <c r="D194" i="1"/>
  <c r="C194" i="1"/>
  <c r="R193" i="1"/>
  <c r="Q193" i="1"/>
  <c r="S193" i="1" s="1"/>
  <c r="P193" i="1"/>
  <c r="W193" i="1" s="1"/>
  <c r="D193" i="1"/>
  <c r="C193" i="1"/>
  <c r="R192" i="1"/>
  <c r="Q192" i="1"/>
  <c r="S192" i="1" s="1"/>
  <c r="P192" i="1"/>
  <c r="D192" i="1"/>
  <c r="C192" i="1"/>
  <c r="R191" i="1"/>
  <c r="Q191" i="1"/>
  <c r="S191" i="1" s="1"/>
  <c r="P191" i="1"/>
  <c r="D191" i="1"/>
  <c r="C191" i="1"/>
  <c r="R190" i="1"/>
  <c r="Q190" i="1"/>
  <c r="S190" i="1" s="1"/>
  <c r="P190" i="1"/>
  <c r="W190" i="1" s="1"/>
  <c r="D190" i="1"/>
  <c r="C190" i="1"/>
  <c r="R189" i="1"/>
  <c r="Q189" i="1"/>
  <c r="S189" i="1" s="1"/>
  <c r="P189" i="1"/>
  <c r="D189" i="1"/>
  <c r="C189" i="1"/>
  <c r="R188" i="1"/>
  <c r="Q188" i="1"/>
  <c r="S188" i="1" s="1"/>
  <c r="P188" i="1"/>
  <c r="W188" i="1" s="1"/>
  <c r="D188" i="1"/>
  <c r="C188" i="1"/>
  <c r="R187" i="1"/>
  <c r="Q187" i="1"/>
  <c r="S187" i="1" s="1"/>
  <c r="P187" i="1"/>
  <c r="D187" i="1"/>
  <c r="C187" i="1"/>
  <c r="R186" i="1"/>
  <c r="Q186" i="1"/>
  <c r="S186" i="1" s="1"/>
  <c r="P186" i="1"/>
  <c r="D186" i="1"/>
  <c r="C186" i="1"/>
  <c r="R185" i="1"/>
  <c r="Q185" i="1"/>
  <c r="S185" i="1" s="1"/>
  <c r="P185" i="1"/>
  <c r="W185" i="1" s="1"/>
  <c r="D185" i="1"/>
  <c r="C185" i="1"/>
  <c r="R184" i="1"/>
  <c r="Q184" i="1"/>
  <c r="S184" i="1" s="1"/>
  <c r="P184" i="1"/>
  <c r="W184" i="1" s="1"/>
  <c r="D184" i="1"/>
  <c r="C184" i="1"/>
  <c r="S183" i="1"/>
  <c r="R183" i="1"/>
  <c r="Q183" i="1"/>
  <c r="P183" i="1"/>
  <c r="D183" i="1"/>
  <c r="C183" i="1"/>
  <c r="R182" i="1"/>
  <c r="Q182" i="1"/>
  <c r="S182" i="1" s="1"/>
  <c r="P182" i="1"/>
  <c r="W182" i="1" s="1"/>
  <c r="D182" i="1"/>
  <c r="C182" i="1"/>
  <c r="R181" i="1"/>
  <c r="Q181" i="1"/>
  <c r="S181" i="1" s="1"/>
  <c r="P181" i="1"/>
  <c r="W181" i="1" s="1"/>
  <c r="D181" i="1"/>
  <c r="C181" i="1"/>
  <c r="R180" i="1"/>
  <c r="Q180" i="1"/>
  <c r="S180" i="1" s="1"/>
  <c r="P180" i="1"/>
  <c r="D180" i="1"/>
  <c r="C180" i="1"/>
  <c r="S179" i="1"/>
  <c r="R179" i="1"/>
  <c r="Q179" i="1"/>
  <c r="P179" i="1"/>
  <c r="W179" i="1" s="1"/>
  <c r="D179" i="1"/>
  <c r="C179" i="1"/>
  <c r="R178" i="1"/>
  <c r="Q178" i="1"/>
  <c r="S178" i="1" s="1"/>
  <c r="P178" i="1"/>
  <c r="W178" i="1" s="1"/>
  <c r="D178" i="1"/>
  <c r="C178" i="1"/>
  <c r="R177" i="1"/>
  <c r="Q177" i="1"/>
  <c r="S177" i="1" s="1"/>
  <c r="P177" i="1"/>
  <c r="D177" i="1"/>
  <c r="C177" i="1"/>
  <c r="R176" i="1"/>
  <c r="Q176" i="1"/>
  <c r="S176" i="1" s="1"/>
  <c r="P176" i="1"/>
  <c r="D176" i="1"/>
  <c r="C176" i="1"/>
  <c r="R175" i="1"/>
  <c r="Q175" i="1"/>
  <c r="S175" i="1" s="1"/>
  <c r="P175" i="1"/>
  <c r="W175" i="1" s="1"/>
  <c r="D175" i="1"/>
  <c r="C175" i="1"/>
  <c r="R174" i="1"/>
  <c r="Q174" i="1"/>
  <c r="S174" i="1" s="1"/>
  <c r="P174" i="1"/>
  <c r="D174" i="1"/>
  <c r="C174" i="1"/>
  <c r="R173" i="1"/>
  <c r="Q173" i="1"/>
  <c r="S173" i="1" s="1"/>
  <c r="P173" i="1"/>
  <c r="D173" i="1"/>
  <c r="C173" i="1"/>
  <c r="U172" i="1"/>
  <c r="R172" i="1"/>
  <c r="Q172" i="1"/>
  <c r="S172" i="1" s="1"/>
  <c r="P172" i="1"/>
  <c r="W172" i="1" s="1"/>
  <c r="O172" i="1"/>
  <c r="J172" i="1"/>
  <c r="K172" i="1" s="1"/>
  <c r="H172" i="1"/>
  <c r="D172" i="1"/>
  <c r="C172" i="1"/>
  <c r="D171" i="1"/>
  <c r="C171" i="1"/>
  <c r="D170" i="1"/>
  <c r="C170" i="1"/>
  <c r="V169" i="1"/>
  <c r="R169" i="1"/>
  <c r="Q169" i="1"/>
  <c r="S169" i="1" s="1"/>
  <c r="P169" i="1"/>
  <c r="W169" i="1" s="1"/>
  <c r="O169" i="1"/>
  <c r="D169" i="1"/>
  <c r="C169" i="1"/>
  <c r="U168" i="1"/>
  <c r="S168" i="1"/>
  <c r="R168" i="1"/>
  <c r="Q168" i="1"/>
  <c r="V168" i="1" s="1"/>
  <c r="P168" i="1"/>
  <c r="W168" i="1" s="1"/>
  <c r="O168" i="1"/>
  <c r="K168" i="1"/>
  <c r="J168" i="1"/>
  <c r="H168" i="1"/>
  <c r="I168" i="1" s="1"/>
  <c r="D168" i="1"/>
  <c r="C168" i="1"/>
  <c r="U167" i="1"/>
  <c r="R167" i="1"/>
  <c r="Q167" i="1"/>
  <c r="S167" i="1" s="1"/>
  <c r="P167" i="1"/>
  <c r="O167" i="1"/>
  <c r="O230" i="1" s="1"/>
  <c r="K167" i="1"/>
  <c r="K230" i="1" s="1"/>
  <c r="J167" i="1"/>
  <c r="J230" i="1" s="1"/>
  <c r="H167" i="1"/>
  <c r="H230" i="1" s="1"/>
  <c r="D167" i="1"/>
  <c r="C167" i="1"/>
  <c r="U166" i="1"/>
  <c r="T166" i="1"/>
  <c r="M166" i="1"/>
  <c r="L166" i="1"/>
  <c r="F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R134" i="1"/>
  <c r="Q134" i="1"/>
  <c r="P134" i="1"/>
  <c r="O134" i="1"/>
  <c r="D134" i="1"/>
  <c r="C134" i="1"/>
  <c r="D133" i="1"/>
  <c r="C133" i="1"/>
  <c r="U132" i="1"/>
  <c r="S132" i="1"/>
  <c r="R132" i="1"/>
  <c r="Q132" i="1"/>
  <c r="V132" i="1" s="1"/>
  <c r="P132" i="1"/>
  <c r="O132" i="1"/>
  <c r="J132" i="1"/>
  <c r="K132" i="1" s="1"/>
  <c r="H132" i="1"/>
  <c r="I132" i="1" s="1"/>
  <c r="D132" i="1"/>
  <c r="C132" i="1"/>
  <c r="V131" i="1"/>
  <c r="R131" i="1"/>
  <c r="Q131" i="1"/>
  <c r="S131" i="1" s="1"/>
  <c r="P131" i="1"/>
  <c r="O131" i="1"/>
  <c r="D131" i="1"/>
  <c r="C131" i="1"/>
  <c r="U130" i="1"/>
  <c r="R130" i="1"/>
  <c r="Q130" i="1"/>
  <c r="S130" i="1" s="1"/>
  <c r="P130" i="1"/>
  <c r="W130" i="1" s="1"/>
  <c r="O130" i="1"/>
  <c r="J130" i="1"/>
  <c r="K130" i="1" s="1"/>
  <c r="I130" i="1"/>
  <c r="H130" i="1"/>
  <c r="D130" i="1"/>
  <c r="C130" i="1"/>
  <c r="U129" i="1"/>
  <c r="R129" i="1"/>
  <c r="Q129" i="1"/>
  <c r="P129" i="1"/>
  <c r="W129" i="1" s="1"/>
  <c r="O129" i="1"/>
  <c r="K129" i="1"/>
  <c r="J129" i="1"/>
  <c r="I129" i="1"/>
  <c r="H129" i="1"/>
  <c r="D129" i="1"/>
  <c r="C129" i="1"/>
  <c r="U128" i="1"/>
  <c r="R128" i="1"/>
  <c r="Q128" i="1"/>
  <c r="S128" i="1" s="1"/>
  <c r="P128" i="1"/>
  <c r="W128" i="1" s="1"/>
  <c r="O128" i="1"/>
  <c r="K128" i="1"/>
  <c r="J128" i="1"/>
  <c r="I128" i="1"/>
  <c r="H128" i="1"/>
  <c r="D128" i="1"/>
  <c r="C128" i="1"/>
  <c r="U127" i="1"/>
  <c r="R127" i="1"/>
  <c r="Q127" i="1"/>
  <c r="P127" i="1"/>
  <c r="O127" i="1"/>
  <c r="J127" i="1"/>
  <c r="H127" i="1"/>
  <c r="I127" i="1" s="1"/>
  <c r="D127" i="1"/>
  <c r="C127" i="1"/>
  <c r="U126" i="1"/>
  <c r="R126" i="1"/>
  <c r="Q126" i="1"/>
  <c r="S126" i="1" s="1"/>
  <c r="P126" i="1"/>
  <c r="O126" i="1"/>
  <c r="J126" i="1"/>
  <c r="K126" i="1" s="1"/>
  <c r="H126" i="1"/>
  <c r="I126" i="1" s="1"/>
  <c r="D126" i="1"/>
  <c r="C126" i="1"/>
  <c r="S125" i="1"/>
  <c r="R125" i="1"/>
  <c r="Q125" i="1"/>
  <c r="P125" i="1"/>
  <c r="O125" i="1"/>
  <c r="N125" i="1"/>
  <c r="N166" i="1" s="1"/>
  <c r="J125" i="1"/>
  <c r="K125" i="1" s="1"/>
  <c r="H125" i="1"/>
  <c r="I125" i="1" s="1"/>
  <c r="D125" i="1"/>
  <c r="C125" i="1"/>
  <c r="U124" i="1"/>
  <c r="R124" i="1"/>
  <c r="Q124" i="1"/>
  <c r="S124" i="1" s="1"/>
  <c r="P124" i="1"/>
  <c r="W124" i="1" s="1"/>
  <c r="O124" i="1"/>
  <c r="J124" i="1"/>
  <c r="K124" i="1" s="1"/>
  <c r="I124" i="1"/>
  <c r="H124" i="1"/>
  <c r="D124" i="1"/>
  <c r="C124" i="1"/>
  <c r="U123" i="1"/>
  <c r="S123" i="1"/>
  <c r="R123" i="1"/>
  <c r="Q123" i="1"/>
  <c r="V123" i="1" s="1"/>
  <c r="P123" i="1"/>
  <c r="W123" i="1" s="1"/>
  <c r="O123" i="1"/>
  <c r="O166" i="1" s="1"/>
  <c r="J123" i="1"/>
  <c r="K123" i="1" s="1"/>
  <c r="H123" i="1"/>
  <c r="I123" i="1" s="1"/>
  <c r="D123" i="1"/>
  <c r="C123" i="1"/>
  <c r="U122" i="1"/>
  <c r="R122" i="1"/>
  <c r="Q122" i="1"/>
  <c r="S122" i="1" s="1"/>
  <c r="P122" i="1"/>
  <c r="W122" i="1" s="1"/>
  <c r="J122" i="1"/>
  <c r="J166" i="1" s="1"/>
  <c r="G122" i="1"/>
  <c r="D122" i="1"/>
  <c r="C122" i="1"/>
  <c r="U121" i="1"/>
  <c r="S121" i="1"/>
  <c r="R121" i="1"/>
  <c r="R166" i="1" s="1"/>
  <c r="Q121" i="1"/>
  <c r="W121" i="1" s="1"/>
  <c r="P121" i="1"/>
  <c r="K121" i="1"/>
  <c r="H121" i="1"/>
  <c r="D121" i="1"/>
  <c r="C121" i="1"/>
  <c r="D120" i="1"/>
  <c r="C120" i="1"/>
  <c r="D119" i="1"/>
  <c r="C119" i="1"/>
  <c r="T118" i="1"/>
  <c r="D117" i="1"/>
  <c r="C117" i="1"/>
  <c r="R116" i="1"/>
  <c r="R118" i="1" s="1"/>
  <c r="Q116" i="1"/>
  <c r="S116" i="1" s="1"/>
  <c r="S118" i="1" s="1"/>
  <c r="P116" i="1"/>
  <c r="W116" i="1" s="1"/>
  <c r="D116" i="1"/>
  <c r="C116" i="1"/>
  <c r="U115" i="1"/>
  <c r="T115" i="1"/>
  <c r="N115" i="1"/>
  <c r="M115" i="1"/>
  <c r="L115" i="1"/>
  <c r="F115" i="1"/>
  <c r="D114" i="1"/>
  <c r="C114" i="1"/>
  <c r="R113" i="1"/>
  <c r="Q113" i="1"/>
  <c r="S113" i="1" s="1"/>
  <c r="P113" i="1"/>
  <c r="D113" i="1"/>
  <c r="C113" i="1"/>
  <c r="S112" i="1"/>
  <c r="R112" i="1"/>
  <c r="Q112" i="1"/>
  <c r="P112" i="1"/>
  <c r="D112" i="1"/>
  <c r="C112" i="1"/>
  <c r="R111" i="1"/>
  <c r="Q111" i="1"/>
  <c r="S111" i="1" s="1"/>
  <c r="P111" i="1"/>
  <c r="W111" i="1" s="1"/>
  <c r="D111" i="1"/>
  <c r="C111" i="1"/>
  <c r="D110" i="1"/>
  <c r="C110" i="1"/>
  <c r="R109" i="1"/>
  <c r="Q109" i="1"/>
  <c r="S109" i="1" s="1"/>
  <c r="P109" i="1"/>
  <c r="W109" i="1" s="1"/>
  <c r="D109" i="1"/>
  <c r="C109" i="1"/>
  <c r="D108" i="1"/>
  <c r="C108" i="1"/>
  <c r="U107" i="1"/>
  <c r="R107" i="1"/>
  <c r="Q107" i="1"/>
  <c r="S107" i="1" s="1"/>
  <c r="P107" i="1"/>
  <c r="W107" i="1" s="1"/>
  <c r="O107" i="1"/>
  <c r="J107" i="1"/>
  <c r="K107" i="1" s="1"/>
  <c r="H107" i="1"/>
  <c r="I107" i="1" s="1"/>
  <c r="D107" i="1"/>
  <c r="C107" i="1"/>
  <c r="R106" i="1"/>
  <c r="Q106" i="1"/>
  <c r="S106" i="1" s="1"/>
  <c r="P106" i="1"/>
  <c r="D106" i="1"/>
  <c r="C106" i="1"/>
  <c r="R105" i="1"/>
  <c r="Q105" i="1"/>
  <c r="S105" i="1" s="1"/>
  <c r="P105" i="1"/>
  <c r="D105" i="1"/>
  <c r="C105" i="1"/>
  <c r="U104" i="1"/>
  <c r="Q104" i="1"/>
  <c r="P104" i="1"/>
  <c r="O104" i="1"/>
  <c r="J104" i="1"/>
  <c r="K104" i="1" s="1"/>
  <c r="H104" i="1"/>
  <c r="I104" i="1" s="1"/>
  <c r="D104" i="1"/>
  <c r="C104" i="1"/>
  <c r="D103" i="1"/>
  <c r="C103" i="1"/>
  <c r="D102" i="1"/>
  <c r="C102" i="1"/>
  <c r="D101" i="1"/>
  <c r="C101" i="1"/>
  <c r="V100" i="1"/>
  <c r="S100" i="1"/>
  <c r="R100" i="1"/>
  <c r="Q100" i="1"/>
  <c r="P100" i="1"/>
  <c r="W100" i="1" s="1"/>
  <c r="O100" i="1"/>
  <c r="O115" i="1" s="1"/>
  <c r="D100" i="1"/>
  <c r="C100" i="1"/>
  <c r="V99" i="1"/>
  <c r="U99" i="1"/>
  <c r="R99" i="1"/>
  <c r="Q99" i="1"/>
  <c r="S99" i="1" s="1"/>
  <c r="P99" i="1"/>
  <c r="W99" i="1" s="1"/>
  <c r="J99" i="1"/>
  <c r="G99" i="1"/>
  <c r="H99" i="1" s="1"/>
  <c r="D99" i="1"/>
  <c r="C99" i="1"/>
  <c r="R98" i="1"/>
  <c r="Q98" i="1"/>
  <c r="S98" i="1" s="1"/>
  <c r="P98" i="1"/>
  <c r="D98" i="1"/>
  <c r="C98" i="1"/>
  <c r="R97" i="1"/>
  <c r="Q97" i="1"/>
  <c r="S97" i="1" s="1"/>
  <c r="P97" i="1"/>
  <c r="D97" i="1"/>
  <c r="C97" i="1"/>
  <c r="S96" i="1"/>
  <c r="R96" i="1"/>
  <c r="Q96" i="1"/>
  <c r="P96" i="1"/>
  <c r="D96" i="1"/>
  <c r="C96" i="1"/>
  <c r="U95" i="1"/>
  <c r="S95" i="1"/>
  <c r="R95" i="1"/>
  <c r="Q95" i="1"/>
  <c r="V95" i="1" s="1"/>
  <c r="P95" i="1"/>
  <c r="W95" i="1" s="1"/>
  <c r="O95" i="1"/>
  <c r="J95" i="1"/>
  <c r="K95" i="1" s="1"/>
  <c r="H95" i="1"/>
  <c r="I95" i="1" s="1"/>
  <c r="D95" i="1"/>
  <c r="C95" i="1"/>
  <c r="U90" i="1"/>
  <c r="R90" i="1"/>
  <c r="Q90" i="1"/>
  <c r="P90" i="1"/>
  <c r="O90" i="1"/>
  <c r="J90" i="1"/>
  <c r="K90" i="1" s="1"/>
  <c r="G90" i="1"/>
  <c r="H90" i="1" s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V83" i="1"/>
  <c r="U83" i="1"/>
  <c r="S83" i="1"/>
  <c r="Q83" i="1"/>
  <c r="P83" i="1"/>
  <c r="W83" i="1" s="1"/>
  <c r="O83" i="1"/>
  <c r="K83" i="1"/>
  <c r="I83" i="1"/>
  <c r="D83" i="1"/>
  <c r="C83" i="1"/>
  <c r="U82" i="1"/>
  <c r="R82" i="1"/>
  <c r="Q82" i="1"/>
  <c r="V82" i="1" s="1"/>
  <c r="P82" i="1"/>
  <c r="O82" i="1"/>
  <c r="J82" i="1"/>
  <c r="D82" i="1"/>
  <c r="C82" i="1"/>
  <c r="U81" i="1"/>
  <c r="R81" i="1"/>
  <c r="Q81" i="1"/>
  <c r="V81" i="1" s="1"/>
  <c r="P81" i="1"/>
  <c r="O81" i="1"/>
  <c r="J81" i="1"/>
  <c r="K81" i="1" s="1"/>
  <c r="D81" i="1"/>
  <c r="C81" i="1"/>
  <c r="U80" i="1"/>
  <c r="R80" i="1"/>
  <c r="Q80" i="1"/>
  <c r="V80" i="1" s="1"/>
  <c r="P80" i="1"/>
  <c r="O80" i="1"/>
  <c r="J80" i="1"/>
  <c r="K80" i="1" s="1"/>
  <c r="H80" i="1"/>
  <c r="D80" i="1"/>
  <c r="C80" i="1"/>
  <c r="U79" i="1"/>
  <c r="Q79" i="1"/>
  <c r="W79" i="1" s="1"/>
  <c r="P79" i="1"/>
  <c r="J79" i="1"/>
  <c r="K79" i="1" s="1"/>
  <c r="H79" i="1"/>
  <c r="I79" i="1" s="1"/>
  <c r="D79" i="1"/>
  <c r="C79" i="1"/>
  <c r="U78" i="1"/>
  <c r="S78" i="1"/>
  <c r="R78" i="1"/>
  <c r="Q78" i="1"/>
  <c r="P78" i="1"/>
  <c r="O78" i="1"/>
  <c r="J78" i="1"/>
  <c r="K78" i="1" s="1"/>
  <c r="H78" i="1"/>
  <c r="I78" i="1" s="1"/>
  <c r="D78" i="1"/>
  <c r="C78" i="1"/>
  <c r="T77" i="1"/>
  <c r="U76" i="1"/>
  <c r="R76" i="1"/>
  <c r="Q76" i="1"/>
  <c r="V76" i="1" s="1"/>
  <c r="P76" i="1"/>
  <c r="W76" i="1" s="1"/>
  <c r="O76" i="1"/>
  <c r="J76" i="1"/>
  <c r="K76" i="1" s="1"/>
  <c r="H76" i="1"/>
  <c r="I76" i="1" s="1"/>
  <c r="D76" i="1"/>
  <c r="C76" i="1"/>
  <c r="U75" i="1"/>
  <c r="D75" i="1"/>
  <c r="C75" i="1"/>
  <c r="U74" i="1"/>
  <c r="D74" i="1"/>
  <c r="C74" i="1"/>
  <c r="D73" i="1"/>
  <c r="C73" i="1"/>
  <c r="W72" i="1"/>
  <c r="V72" i="1"/>
  <c r="U72" i="1"/>
  <c r="D72" i="1"/>
  <c r="C72" i="1"/>
  <c r="D71" i="1"/>
  <c r="C71" i="1"/>
  <c r="U70" i="1"/>
  <c r="R70" i="1"/>
  <c r="Q70" i="1"/>
  <c r="V70" i="1" s="1"/>
  <c r="P70" i="1"/>
  <c r="O70" i="1"/>
  <c r="J70" i="1"/>
  <c r="K70" i="1" s="1"/>
  <c r="H70" i="1"/>
  <c r="I70" i="1" s="1"/>
  <c r="D70" i="1"/>
  <c r="C70" i="1"/>
  <c r="U69" i="1"/>
  <c r="R69" i="1"/>
  <c r="Q69" i="1"/>
  <c r="S69" i="1" s="1"/>
  <c r="P69" i="1"/>
  <c r="J69" i="1"/>
  <c r="K69" i="1" s="1"/>
  <c r="G69" i="1"/>
  <c r="H69" i="1" s="1"/>
  <c r="D69" i="1"/>
  <c r="C69" i="1"/>
  <c r="U68" i="1"/>
  <c r="S68" i="1"/>
  <c r="R68" i="1"/>
  <c r="R77" i="1" s="1"/>
  <c r="Q68" i="1"/>
  <c r="V68" i="1" s="1"/>
  <c r="P68" i="1"/>
  <c r="P77" i="1" s="1"/>
  <c r="O68" i="1"/>
  <c r="K68" i="1"/>
  <c r="J68" i="1"/>
  <c r="H68" i="1"/>
  <c r="I68" i="1" s="1"/>
  <c r="D68" i="1"/>
  <c r="C68" i="1"/>
  <c r="S67" i="1"/>
  <c r="R67" i="1"/>
  <c r="Q67" i="1"/>
  <c r="P67" i="1"/>
  <c r="D66" i="1"/>
  <c r="C66" i="1"/>
  <c r="D65" i="1"/>
  <c r="C65" i="1"/>
  <c r="D64" i="1"/>
  <c r="C64" i="1"/>
  <c r="T63" i="1"/>
  <c r="T67" i="1" s="1"/>
  <c r="D63" i="1"/>
  <c r="C63" i="1"/>
  <c r="D62" i="1"/>
  <c r="C62" i="1"/>
  <c r="W61" i="1"/>
  <c r="V61" i="1"/>
  <c r="U61" i="1"/>
  <c r="U60" i="1"/>
  <c r="T60" i="1"/>
  <c r="O60" i="1"/>
  <c r="N60" i="1"/>
  <c r="M60" i="1"/>
  <c r="L60" i="1"/>
  <c r="K60" i="1"/>
  <c r="J60" i="1"/>
  <c r="I60" i="1"/>
  <c r="H60" i="1"/>
  <c r="G60" i="1"/>
  <c r="F60" i="1"/>
  <c r="S59" i="1"/>
  <c r="R59" i="1"/>
  <c r="Q59" i="1"/>
  <c r="P59" i="1"/>
  <c r="W59" i="1" s="1"/>
  <c r="D59" i="1"/>
  <c r="C59" i="1"/>
  <c r="R58" i="1"/>
  <c r="Q58" i="1"/>
  <c r="S58" i="1" s="1"/>
  <c r="P58" i="1"/>
  <c r="W58" i="1" s="1"/>
  <c r="D58" i="1"/>
  <c r="C58" i="1"/>
  <c r="R57" i="1"/>
  <c r="Q57" i="1"/>
  <c r="S57" i="1" s="1"/>
  <c r="P57" i="1"/>
  <c r="D57" i="1"/>
  <c r="C57" i="1"/>
  <c r="R56" i="1"/>
  <c r="Q56" i="1"/>
  <c r="S56" i="1" s="1"/>
  <c r="P56" i="1"/>
  <c r="W56" i="1" s="1"/>
  <c r="D56" i="1"/>
  <c r="C56" i="1"/>
  <c r="R55" i="1"/>
  <c r="Q55" i="1"/>
  <c r="S55" i="1" s="1"/>
  <c r="P55" i="1"/>
  <c r="W55" i="1" s="1"/>
  <c r="D55" i="1"/>
  <c r="C55" i="1"/>
  <c r="S54" i="1"/>
  <c r="R54" i="1"/>
  <c r="Q54" i="1"/>
  <c r="P54" i="1"/>
  <c r="W54" i="1" s="1"/>
  <c r="D54" i="1"/>
  <c r="C54" i="1"/>
  <c r="Q53" i="1"/>
  <c r="S53" i="1" s="1"/>
  <c r="P53" i="1"/>
  <c r="W53" i="1" s="1"/>
  <c r="D53" i="1"/>
  <c r="C53" i="1"/>
  <c r="R52" i="1"/>
  <c r="Q52" i="1"/>
  <c r="P52" i="1"/>
  <c r="S51" i="1"/>
  <c r="R51" i="1"/>
  <c r="Q51" i="1"/>
  <c r="P51" i="1"/>
  <c r="D51" i="1"/>
  <c r="C51" i="1"/>
  <c r="R50" i="1"/>
  <c r="Q50" i="1"/>
  <c r="P50" i="1"/>
  <c r="R49" i="1"/>
  <c r="Q49" i="1"/>
  <c r="S49" i="1" s="1"/>
  <c r="P49" i="1"/>
  <c r="D49" i="1"/>
  <c r="C49" i="1"/>
  <c r="W48" i="1"/>
  <c r="W47" i="1"/>
  <c r="V47" i="1"/>
  <c r="U47" i="1"/>
  <c r="U46" i="1"/>
  <c r="U45" i="1"/>
  <c r="T45" i="1"/>
  <c r="O45" i="1"/>
  <c r="N45" i="1"/>
  <c r="M45" i="1"/>
  <c r="L45" i="1"/>
  <c r="K45" i="1"/>
  <c r="J45" i="1"/>
  <c r="I45" i="1"/>
  <c r="H45" i="1"/>
  <c r="G45" i="1"/>
  <c r="F45" i="1"/>
  <c r="U44" i="1"/>
  <c r="R44" i="1"/>
  <c r="Q44" i="1"/>
  <c r="V44" i="1" s="1"/>
  <c r="P44" i="1"/>
  <c r="W44" i="1" s="1"/>
  <c r="D44" i="1"/>
  <c r="C44" i="1"/>
  <c r="R43" i="1"/>
  <c r="R45" i="1" s="1"/>
  <c r="Q43" i="1"/>
  <c r="P43" i="1"/>
  <c r="D43" i="1"/>
  <c r="C43" i="1"/>
  <c r="W42" i="1"/>
  <c r="D42" i="1"/>
  <c r="C42" i="1"/>
  <c r="Q41" i="1"/>
  <c r="S41" i="1" s="1"/>
  <c r="P41" i="1"/>
  <c r="W41" i="1" s="1"/>
  <c r="D41" i="1"/>
  <c r="C41" i="1"/>
  <c r="Q40" i="1"/>
  <c r="Q45" i="1" s="1"/>
  <c r="V45" i="1" s="1"/>
  <c r="P40" i="1"/>
  <c r="J40" i="1"/>
  <c r="D40" i="1"/>
  <c r="C40" i="1"/>
  <c r="W39" i="1"/>
  <c r="V39" i="1"/>
  <c r="U39" i="1"/>
  <c r="U38" i="1"/>
  <c r="T38" i="1"/>
  <c r="O38" i="1"/>
  <c r="N38" i="1"/>
  <c r="M38" i="1"/>
  <c r="L38" i="1"/>
  <c r="H38" i="1"/>
  <c r="G38" i="1"/>
  <c r="F38" i="1"/>
  <c r="U37" i="1"/>
  <c r="R37" i="1"/>
  <c r="R38" i="1" s="1"/>
  <c r="Q37" i="1"/>
  <c r="S37" i="1" s="1"/>
  <c r="S38" i="1" s="1"/>
  <c r="P37" i="1"/>
  <c r="W37" i="1" s="1"/>
  <c r="J37" i="1"/>
  <c r="J38" i="1" s="1"/>
  <c r="I37" i="1"/>
  <c r="I38" i="1" s="1"/>
  <c r="D37" i="1"/>
  <c r="C37" i="1"/>
  <c r="W36" i="1"/>
  <c r="V36" i="1"/>
  <c r="U36" i="1"/>
  <c r="U35" i="1"/>
  <c r="U34" i="1"/>
  <c r="T34" i="1"/>
  <c r="O34" i="1"/>
  <c r="N34" i="1"/>
  <c r="N35" i="1" s="1"/>
  <c r="M34" i="1"/>
  <c r="L34" i="1"/>
  <c r="K34" i="1"/>
  <c r="J34" i="1"/>
  <c r="J35" i="1" s="1"/>
  <c r="I34" i="1"/>
  <c r="H34" i="1"/>
  <c r="G34" i="1"/>
  <c r="F34" i="1"/>
  <c r="F35" i="1" s="1"/>
  <c r="R33" i="1"/>
  <c r="Q33" i="1"/>
  <c r="S33" i="1" s="1"/>
  <c r="P33" i="1"/>
  <c r="D33" i="1"/>
  <c r="C33" i="1"/>
  <c r="R32" i="1"/>
  <c r="Q32" i="1"/>
  <c r="S32" i="1" s="1"/>
  <c r="P32" i="1"/>
  <c r="D32" i="1"/>
  <c r="C32" i="1"/>
  <c r="R31" i="1"/>
  <c r="Q31" i="1"/>
  <c r="S31" i="1" s="1"/>
  <c r="P31" i="1"/>
  <c r="D31" i="1"/>
  <c r="C31" i="1"/>
  <c r="R30" i="1"/>
  <c r="Q30" i="1"/>
  <c r="P30" i="1"/>
  <c r="S29" i="1"/>
  <c r="R29" i="1"/>
  <c r="Q29" i="1"/>
  <c r="P29" i="1"/>
  <c r="D29" i="1"/>
  <c r="C29" i="1"/>
  <c r="R28" i="1"/>
  <c r="Q28" i="1"/>
  <c r="P28" i="1"/>
  <c r="R27" i="1"/>
  <c r="Q27" i="1"/>
  <c r="P27" i="1"/>
  <c r="Q26" i="1"/>
  <c r="S26" i="1" s="1"/>
  <c r="P26" i="1"/>
  <c r="D26" i="1"/>
  <c r="C26" i="1"/>
  <c r="U25" i="1"/>
  <c r="R25" i="1"/>
  <c r="Q25" i="1"/>
  <c r="S25" i="1" s="1"/>
  <c r="P25" i="1"/>
  <c r="W25" i="1" s="1"/>
  <c r="D25" i="1"/>
  <c r="C25" i="1"/>
  <c r="R24" i="1"/>
  <c r="Q24" i="1"/>
  <c r="S24" i="1" s="1"/>
  <c r="P24" i="1"/>
  <c r="D24" i="1"/>
  <c r="C24" i="1"/>
  <c r="R23" i="1"/>
  <c r="Q23" i="1"/>
  <c r="S23" i="1" s="1"/>
  <c r="P23" i="1"/>
  <c r="W23" i="1" s="1"/>
  <c r="D23" i="1"/>
  <c r="C23" i="1"/>
  <c r="Q22" i="1"/>
  <c r="S22" i="1" s="1"/>
  <c r="P22" i="1"/>
  <c r="W22" i="1" s="1"/>
  <c r="D22" i="1"/>
  <c r="C22" i="1"/>
  <c r="W21" i="1"/>
  <c r="Q20" i="1"/>
  <c r="W20" i="1" s="1"/>
  <c r="D20" i="1"/>
  <c r="C20" i="1"/>
  <c r="R19" i="1"/>
  <c r="Q19" i="1"/>
  <c r="S19" i="1" s="1"/>
  <c r="P19" i="1"/>
  <c r="D19" i="1"/>
  <c r="C19" i="1"/>
  <c r="S18" i="1"/>
  <c r="R18" i="1"/>
  <c r="Q18" i="1"/>
  <c r="P18" i="1"/>
  <c r="D18" i="1"/>
  <c r="C18" i="1"/>
  <c r="R17" i="1"/>
  <c r="Q17" i="1"/>
  <c r="P17" i="1"/>
  <c r="W17" i="1" s="1"/>
  <c r="D17" i="1"/>
  <c r="C17" i="1"/>
  <c r="U16" i="1"/>
  <c r="T16" i="1"/>
  <c r="O16" i="1"/>
  <c r="N16" i="1"/>
  <c r="M16" i="1"/>
  <c r="L16" i="1"/>
  <c r="I16" i="1"/>
  <c r="G16" i="1"/>
  <c r="G35" i="1" s="1"/>
  <c r="F16" i="1"/>
  <c r="R15" i="1"/>
  <c r="Q15" i="1"/>
  <c r="S15" i="1" s="1"/>
  <c r="P15" i="1"/>
  <c r="W15" i="1" s="1"/>
  <c r="D15" i="1"/>
  <c r="C15" i="1"/>
  <c r="R14" i="1"/>
  <c r="Q14" i="1"/>
  <c r="S14" i="1" s="1"/>
  <c r="P14" i="1"/>
  <c r="D14" i="1"/>
  <c r="C14" i="1"/>
  <c r="R13" i="1"/>
  <c r="Q13" i="1"/>
  <c r="S13" i="1" s="1"/>
  <c r="P13" i="1"/>
  <c r="W13" i="1" s="1"/>
  <c r="D13" i="1"/>
  <c r="C13" i="1"/>
  <c r="S12" i="1"/>
  <c r="R12" i="1"/>
  <c r="Q12" i="1"/>
  <c r="W12" i="1" s="1"/>
  <c r="D12" i="1"/>
  <c r="C12" i="1"/>
  <c r="R11" i="1"/>
  <c r="Q11" i="1"/>
  <c r="W11" i="1" s="1"/>
  <c r="D11" i="1"/>
  <c r="C11" i="1"/>
  <c r="W10" i="1"/>
  <c r="R10" i="1"/>
  <c r="Q10" i="1"/>
  <c r="S10" i="1" s="1"/>
  <c r="D10" i="1"/>
  <c r="C10" i="1"/>
  <c r="R9" i="1"/>
  <c r="Q9" i="1"/>
  <c r="W9" i="1" s="1"/>
  <c r="D9" i="1"/>
  <c r="C9" i="1"/>
  <c r="W8" i="1"/>
  <c r="S8" i="1"/>
  <c r="R8" i="1"/>
  <c r="Q8" i="1"/>
  <c r="D8" i="1"/>
  <c r="C8" i="1"/>
  <c r="R7" i="1"/>
  <c r="Q7" i="1"/>
  <c r="W7" i="1" s="1"/>
  <c r="D7" i="1"/>
  <c r="C7" i="1"/>
  <c r="W6" i="1"/>
  <c r="R6" i="1"/>
  <c r="Q6" i="1"/>
  <c r="S6" i="1" s="1"/>
  <c r="D6" i="1"/>
  <c r="C6" i="1"/>
  <c r="U5" i="1"/>
  <c r="S5" i="1"/>
  <c r="R5" i="1"/>
  <c r="Q5" i="1"/>
  <c r="V5" i="1" s="1"/>
  <c r="P5" i="1"/>
  <c r="W5" i="1" s="1"/>
  <c r="J5" i="1"/>
  <c r="K5" i="1" s="1"/>
  <c r="D5" i="1"/>
  <c r="C5" i="1"/>
  <c r="U4" i="1"/>
  <c r="S4" i="1"/>
  <c r="R4" i="1"/>
  <c r="Q4" i="1"/>
  <c r="Q16" i="1" s="1"/>
  <c r="V16" i="1" s="1"/>
  <c r="P4" i="1"/>
  <c r="K4" i="1"/>
  <c r="K16" i="1" s="1"/>
  <c r="K35" i="1" s="1"/>
  <c r="J4" i="1"/>
  <c r="J16" i="1" s="1"/>
  <c r="H4" i="1"/>
  <c r="H5" i="1" s="1"/>
  <c r="D4" i="1"/>
  <c r="C4" i="1"/>
  <c r="U3" i="1"/>
  <c r="H115" i="1" l="1"/>
  <c r="I99" i="1"/>
  <c r="I115" i="1" s="1"/>
  <c r="W4" i="1"/>
  <c r="W14" i="1"/>
  <c r="Q34" i="1"/>
  <c r="W18" i="1"/>
  <c r="S20" i="1"/>
  <c r="W26" i="1"/>
  <c r="W40" i="1"/>
  <c r="S45" i="1"/>
  <c r="S46" i="1" s="1"/>
  <c r="P60" i="1"/>
  <c r="W51" i="1"/>
  <c r="T231" i="1"/>
  <c r="W69" i="1"/>
  <c r="P115" i="1"/>
  <c r="W90" i="1"/>
  <c r="W96" i="1"/>
  <c r="W98" i="1"/>
  <c r="W106" i="1"/>
  <c r="W112" i="1"/>
  <c r="G166" i="1"/>
  <c r="H122" i="1"/>
  <c r="I122" i="1" s="1"/>
  <c r="W131" i="1"/>
  <c r="W134" i="1"/>
  <c r="S134" i="1"/>
  <c r="F231" i="1"/>
  <c r="I167" i="1"/>
  <c r="I230" i="1" s="1"/>
  <c r="P230" i="1"/>
  <c r="W167" i="1"/>
  <c r="W201" i="1"/>
  <c r="W204" i="1"/>
  <c r="W207" i="1"/>
  <c r="W214" i="1"/>
  <c r="W218" i="1"/>
  <c r="W221" i="1"/>
  <c r="W224" i="1"/>
  <c r="L231" i="1"/>
  <c r="L350" i="1" s="1"/>
  <c r="U231" i="1"/>
  <c r="W239" i="1"/>
  <c r="W242" i="1"/>
  <c r="V244" i="1"/>
  <c r="S244" i="1"/>
  <c r="R254" i="1"/>
  <c r="W252" i="1"/>
  <c r="P272" i="1"/>
  <c r="W272" i="1" s="1"/>
  <c r="V261" i="1"/>
  <c r="S261" i="1"/>
  <c r="P326" i="1"/>
  <c r="S317" i="1"/>
  <c r="V317" i="1"/>
  <c r="R344" i="1"/>
  <c r="J349" i="1"/>
  <c r="K346" i="1"/>
  <c r="K349" i="1" s="1"/>
  <c r="AG15" i="2"/>
  <c r="R45" i="2"/>
  <c r="P49" i="2"/>
  <c r="AG49" i="2" s="1"/>
  <c r="I77" i="2"/>
  <c r="M77" i="2"/>
  <c r="U77" i="2"/>
  <c r="Q76" i="2"/>
  <c r="AG74" i="2"/>
  <c r="P103" i="2"/>
  <c r="AG103" i="2" s="1"/>
  <c r="P118" i="2"/>
  <c r="AG122" i="2"/>
  <c r="I126" i="2"/>
  <c r="M126" i="2"/>
  <c r="U126" i="2"/>
  <c r="AG141" i="2"/>
  <c r="AG144" i="2"/>
  <c r="Q172" i="2"/>
  <c r="AG162" i="2"/>
  <c r="J348" i="3"/>
  <c r="K345" i="3"/>
  <c r="K348" i="3" s="1"/>
  <c r="M46" i="1"/>
  <c r="W82" i="1"/>
  <c r="W245" i="1"/>
  <c r="H249" i="1"/>
  <c r="I248" i="1"/>
  <c r="I249" i="1" s="1"/>
  <c r="L327" i="1"/>
  <c r="R34" i="1"/>
  <c r="R35" i="1" s="1"/>
  <c r="T35" i="1"/>
  <c r="S82" i="1"/>
  <c r="G115" i="1"/>
  <c r="V234" i="1"/>
  <c r="S235" i="1"/>
  <c r="S245" i="1"/>
  <c r="H286" i="1"/>
  <c r="R305" i="1"/>
  <c r="M327" i="1"/>
  <c r="S346" i="1"/>
  <c r="F77" i="2"/>
  <c r="N77" i="2"/>
  <c r="V77" i="2"/>
  <c r="Q125" i="2"/>
  <c r="S119" i="2"/>
  <c r="S125" i="2" s="1"/>
  <c r="V127" i="1"/>
  <c r="S127" i="1"/>
  <c r="S166" i="1" s="1"/>
  <c r="T327" i="1"/>
  <c r="T350" i="1" s="1"/>
  <c r="Q45" i="2"/>
  <c r="S26" i="2"/>
  <c r="L35" i="1"/>
  <c r="R46" i="1"/>
  <c r="S70" i="1"/>
  <c r="R16" i="1"/>
  <c r="O35" i="1"/>
  <c r="W19" i="1"/>
  <c r="W24" i="1"/>
  <c r="I35" i="1"/>
  <c r="I46" i="1" s="1"/>
  <c r="M35" i="1"/>
  <c r="T46" i="1"/>
  <c r="P45" i="1"/>
  <c r="S44" i="1"/>
  <c r="R60" i="1"/>
  <c r="W57" i="1"/>
  <c r="W68" i="1"/>
  <c r="W70" i="1"/>
  <c r="R115" i="1"/>
  <c r="S90" i="1"/>
  <c r="W97" i="1"/>
  <c r="W104" i="1"/>
  <c r="W113" i="1"/>
  <c r="P118" i="1"/>
  <c r="N231" i="1"/>
  <c r="W127" i="1"/>
  <c r="V129" i="1"/>
  <c r="S129" i="1"/>
  <c r="R230" i="1"/>
  <c r="W174" i="1"/>
  <c r="W177" i="1"/>
  <c r="W180" i="1"/>
  <c r="W187" i="1"/>
  <c r="W191" i="1"/>
  <c r="W234" i="1"/>
  <c r="W263" i="1"/>
  <c r="W266" i="1"/>
  <c r="R286" i="1"/>
  <c r="W292" i="1"/>
  <c r="O305" i="1"/>
  <c r="O327" i="1" s="1"/>
  <c r="O350" i="1" s="1"/>
  <c r="F327" i="1"/>
  <c r="N327" i="1"/>
  <c r="G327" i="1"/>
  <c r="P344" i="1"/>
  <c r="W344" i="1" s="1"/>
  <c r="W339" i="1"/>
  <c r="P20" i="2"/>
  <c r="AG20" i="2" s="1"/>
  <c r="R49" i="2"/>
  <c r="AG47" i="2"/>
  <c r="Q65" i="2"/>
  <c r="Q72" i="2"/>
  <c r="S70" i="2"/>
  <c r="S72" i="2" s="1"/>
  <c r="G290" i="2"/>
  <c r="G398" i="2" s="1"/>
  <c r="G399" i="2" s="1"/>
  <c r="K290" i="2"/>
  <c r="O290" i="2"/>
  <c r="P166" i="1"/>
  <c r="V125" i="1"/>
  <c r="W126" i="1"/>
  <c r="W173" i="1"/>
  <c r="W176" i="1"/>
  <c r="W183" i="1"/>
  <c r="W186" i="1"/>
  <c r="W189" i="1"/>
  <c r="W192" i="1"/>
  <c r="W197" i="1"/>
  <c r="W200" i="1"/>
  <c r="W203" i="1"/>
  <c r="W210" i="1"/>
  <c r="W213" i="1"/>
  <c r="W216" i="1"/>
  <c r="W219" i="1"/>
  <c r="M231" i="1"/>
  <c r="M350" i="1" s="1"/>
  <c r="W238" i="1"/>
  <c r="R272" i="1"/>
  <c r="W265" i="1"/>
  <c r="W267" i="1"/>
  <c r="W270" i="1"/>
  <c r="W279" i="1"/>
  <c r="W280" i="1"/>
  <c r="W295" i="1"/>
  <c r="W298" i="1"/>
  <c r="W301" i="1"/>
  <c r="R326" i="1"/>
  <c r="W321" i="1"/>
  <c r="W326" i="1" s="1"/>
  <c r="W342" i="1"/>
  <c r="R349" i="1"/>
  <c r="V347" i="1"/>
  <c r="S347" i="1"/>
  <c r="R20" i="2"/>
  <c r="P25" i="2"/>
  <c r="Q49" i="2"/>
  <c r="Z49" i="2" s="1"/>
  <c r="P65" i="2"/>
  <c r="AG55" i="2"/>
  <c r="R72" i="2"/>
  <c r="P76" i="2"/>
  <c r="H77" i="2"/>
  <c r="H398" i="2" s="1"/>
  <c r="H399" i="2" s="1"/>
  <c r="L77" i="2"/>
  <c r="T77" i="2"/>
  <c r="H126" i="2"/>
  <c r="L126" i="2"/>
  <c r="T126" i="2"/>
  <c r="R125" i="2"/>
  <c r="Q150" i="2"/>
  <c r="S136" i="2"/>
  <c r="S150" i="2" s="1"/>
  <c r="V221" i="2"/>
  <c r="R301" i="2"/>
  <c r="Q333" i="2"/>
  <c r="AG333" i="2" s="1"/>
  <c r="S328" i="2"/>
  <c r="S333" i="2" s="1"/>
  <c r="P356" i="2"/>
  <c r="Q397" i="2"/>
  <c r="S366" i="2"/>
  <c r="J16" i="3"/>
  <c r="J35" i="3" s="1"/>
  <c r="J46" i="3" s="1"/>
  <c r="K4" i="3"/>
  <c r="K16" i="3" s="1"/>
  <c r="K35" i="3" s="1"/>
  <c r="AG79" i="2"/>
  <c r="AG82" i="2"/>
  <c r="S118" i="2"/>
  <c r="AG106" i="2"/>
  <c r="AG109" i="2"/>
  <c r="R135" i="2"/>
  <c r="AG131" i="2"/>
  <c r="R150" i="2"/>
  <c r="P172" i="2"/>
  <c r="AG172" i="2" s="1"/>
  <c r="AG152" i="2"/>
  <c r="AG165" i="2"/>
  <c r="R177" i="2"/>
  <c r="AG91" i="2"/>
  <c r="R103" i="2"/>
  <c r="Q118" i="2"/>
  <c r="F126" i="2"/>
  <c r="J126" i="2"/>
  <c r="N126" i="2"/>
  <c r="V126" i="2"/>
  <c r="R172" i="2"/>
  <c r="P221" i="2"/>
  <c r="Z364" i="2"/>
  <c r="R397" i="2"/>
  <c r="P45" i="3"/>
  <c r="Q344" i="1"/>
  <c r="V344" i="1" s="1"/>
  <c r="W330" i="1"/>
  <c r="W341" i="1"/>
  <c r="P349" i="1"/>
  <c r="X398" i="2"/>
  <c r="AG9" i="2"/>
  <c r="AG12" i="2"/>
  <c r="AG14" i="2"/>
  <c r="Q25" i="2"/>
  <c r="P45" i="2"/>
  <c r="AG32" i="2"/>
  <c r="AG35" i="2"/>
  <c r="AG41" i="2"/>
  <c r="R65" i="2"/>
  <c r="AG57" i="2"/>
  <c r="AG61" i="2"/>
  <c r="P69" i="2"/>
  <c r="G77" i="2"/>
  <c r="R90" i="2"/>
  <c r="AG83" i="2"/>
  <c r="AG84" i="2"/>
  <c r="AG87" i="2"/>
  <c r="R94" i="2"/>
  <c r="AG93" i="2"/>
  <c r="AG97" i="2"/>
  <c r="AG100" i="2"/>
  <c r="R118" i="2"/>
  <c r="R126" i="2" s="1"/>
  <c r="AG105" i="2"/>
  <c r="AG111" i="2"/>
  <c r="AG114" i="2"/>
  <c r="AG116" i="2"/>
  <c r="P125" i="2"/>
  <c r="AG124" i="2"/>
  <c r="Q135" i="2"/>
  <c r="Z135" i="2" s="1"/>
  <c r="P150" i="2"/>
  <c r="AG150" i="2" s="1"/>
  <c r="AG138" i="2"/>
  <c r="AG158" i="2"/>
  <c r="AG161" i="2"/>
  <c r="AG167" i="2"/>
  <c r="P177" i="2"/>
  <c r="AG177" i="2" s="1"/>
  <c r="AG178" i="2"/>
  <c r="AG198" i="2"/>
  <c r="AG230" i="2"/>
  <c r="P247" i="2"/>
  <c r="AG237" i="2"/>
  <c r="AG241" i="2"/>
  <c r="AG245" i="2"/>
  <c r="F248" i="2"/>
  <c r="J248" i="2"/>
  <c r="N248" i="2"/>
  <c r="R274" i="2"/>
  <c r="AG253" i="2"/>
  <c r="AG259" i="2"/>
  <c r="S289" i="2"/>
  <c r="AG287" i="2"/>
  <c r="AG300" i="2"/>
  <c r="R314" i="2"/>
  <c r="AG318" i="2"/>
  <c r="AG331" i="2"/>
  <c r="R339" i="2"/>
  <c r="AG353" i="2"/>
  <c r="AG372" i="2"/>
  <c r="AG386" i="2"/>
  <c r="AG389" i="2"/>
  <c r="AG187" i="2"/>
  <c r="AG190" i="2"/>
  <c r="AG193" i="2"/>
  <c r="AG196" i="2"/>
  <c r="AG199" i="2"/>
  <c r="AG206" i="2"/>
  <c r="AG209" i="2"/>
  <c r="AG212" i="2"/>
  <c r="AG215" i="2"/>
  <c r="AG224" i="2"/>
  <c r="Q232" i="2"/>
  <c r="AG232" i="2" s="1"/>
  <c r="AG228" i="2"/>
  <c r="R247" i="2"/>
  <c r="AG235" i="2"/>
  <c r="AG239" i="2"/>
  <c r="AG243" i="2"/>
  <c r="H248" i="2"/>
  <c r="L248" i="2"/>
  <c r="T248" i="2"/>
  <c r="P274" i="2"/>
  <c r="AG261" i="2"/>
  <c r="AG266" i="2"/>
  <c r="AG268" i="2"/>
  <c r="AG276" i="2"/>
  <c r="AG281" i="2"/>
  <c r="AG286" i="2"/>
  <c r="P301" i="2"/>
  <c r="AG301" i="2" s="1"/>
  <c r="AG295" i="2"/>
  <c r="P314" i="2"/>
  <c r="AG311" i="2"/>
  <c r="AG325" i="2"/>
  <c r="R333" i="2"/>
  <c r="P339" i="2"/>
  <c r="AG336" i="2"/>
  <c r="R347" i="2"/>
  <c r="R357" i="2" s="1"/>
  <c r="AG344" i="2"/>
  <c r="Q356" i="2"/>
  <c r="AG349" i="2"/>
  <c r="AG351" i="2"/>
  <c r="AG354" i="2"/>
  <c r="I357" i="2"/>
  <c r="M357" i="2"/>
  <c r="U357" i="2"/>
  <c r="U398" i="2" s="1"/>
  <c r="R364" i="2"/>
  <c r="AG368" i="2"/>
  <c r="AG373" i="2"/>
  <c r="AG379" i="2"/>
  <c r="AG380" i="2"/>
  <c r="AG382" i="2"/>
  <c r="AG385" i="2"/>
  <c r="AG388" i="2"/>
  <c r="AG390" i="2"/>
  <c r="I408" i="2"/>
  <c r="F35" i="3"/>
  <c r="H304" i="3"/>
  <c r="I640" i="3"/>
  <c r="AG194" i="2"/>
  <c r="AG197" i="2"/>
  <c r="AG200" i="2"/>
  <c r="AG203" i="2"/>
  <c r="AG210" i="2"/>
  <c r="AG213" i="2"/>
  <c r="AG218" i="2"/>
  <c r="P226" i="2"/>
  <c r="AG225" i="2"/>
  <c r="R232" i="2"/>
  <c r="AG229" i="2"/>
  <c r="AG236" i="2"/>
  <c r="AG240" i="2"/>
  <c r="AG244" i="2"/>
  <c r="I248" i="2"/>
  <c r="M248" i="2"/>
  <c r="U248" i="2"/>
  <c r="AG252" i="2"/>
  <c r="AG255" i="2"/>
  <c r="AG258" i="2"/>
  <c r="AG269" i="2"/>
  <c r="AG272" i="2"/>
  <c r="AG279" i="2"/>
  <c r="AG282" i="2"/>
  <c r="I290" i="2"/>
  <c r="M290" i="2"/>
  <c r="U290" i="2"/>
  <c r="Q301" i="2"/>
  <c r="AG293" i="2"/>
  <c r="AG296" i="2"/>
  <c r="AG299" i="2"/>
  <c r="S314" i="2"/>
  <c r="AG304" i="2"/>
  <c r="AG306" i="2"/>
  <c r="AG309" i="2"/>
  <c r="AG312" i="2"/>
  <c r="R327" i="2"/>
  <c r="AG320" i="2"/>
  <c r="AG330" i="2"/>
  <c r="G357" i="2"/>
  <c r="K357" i="2"/>
  <c r="O357" i="2"/>
  <c r="AG337" i="2"/>
  <c r="P347" i="2"/>
  <c r="AG345" i="2"/>
  <c r="H357" i="2"/>
  <c r="L357" i="2"/>
  <c r="L398" i="2" s="1"/>
  <c r="L399" i="2" s="1"/>
  <c r="T357" i="2"/>
  <c r="R356" i="2"/>
  <c r="AG352" i="2"/>
  <c r="F357" i="2"/>
  <c r="F398" i="2" s="1"/>
  <c r="F399" i="2" s="1"/>
  <c r="J357" i="2"/>
  <c r="N357" i="2"/>
  <c r="AG359" i="2"/>
  <c r="AG362" i="2"/>
  <c r="P397" i="2"/>
  <c r="AG369" i="2"/>
  <c r="AG371" i="2"/>
  <c r="AG376" i="2"/>
  <c r="AG383" i="2"/>
  <c r="AG392" i="2"/>
  <c r="G35" i="3"/>
  <c r="I345" i="3"/>
  <c r="I348" i="3" s="1"/>
  <c r="P485" i="3"/>
  <c r="P422" i="3"/>
  <c r="S527" i="3"/>
  <c r="S45" i="3"/>
  <c r="Q706" i="3"/>
  <c r="P747" i="3"/>
  <c r="Q45" i="3"/>
  <c r="Q468" i="3"/>
  <c r="R597" i="3"/>
  <c r="R485" i="3"/>
  <c r="P683" i="3"/>
  <c r="H229" i="3"/>
  <c r="J253" i="3"/>
  <c r="P531" i="3"/>
  <c r="S532" i="3"/>
  <c r="S533" i="3" s="1"/>
  <c r="R639" i="3"/>
  <c r="V640" i="3"/>
  <c r="L35" i="3"/>
  <c r="U35" i="3"/>
  <c r="I35" i="3"/>
  <c r="I46" i="3" s="1"/>
  <c r="M35" i="3"/>
  <c r="M46" i="3" s="1"/>
  <c r="O271" i="3"/>
  <c r="O326" i="3" s="1"/>
  <c r="K295" i="3"/>
  <c r="K304" i="3" s="1"/>
  <c r="S422" i="3"/>
  <c r="H35" i="3"/>
  <c r="R45" i="3"/>
  <c r="R46" i="3" s="1"/>
  <c r="R285" i="3"/>
  <c r="P343" i="3"/>
  <c r="R348" i="3"/>
  <c r="R370" i="3"/>
  <c r="R419" i="3"/>
  <c r="Q426" i="3"/>
  <c r="S444" i="3"/>
  <c r="R453" i="3"/>
  <c r="R500" i="3"/>
  <c r="Q582" i="3"/>
  <c r="R664" i="3"/>
  <c r="P714" i="3"/>
  <c r="O35" i="3"/>
  <c r="O46" i="3" s="1"/>
  <c r="P34" i="3"/>
  <c r="N35" i="3"/>
  <c r="I167" i="3"/>
  <c r="Q16" i="3"/>
  <c r="Q46" i="3"/>
  <c r="R253" i="3"/>
  <c r="R325" i="3"/>
  <c r="J38" i="3"/>
  <c r="Q77" i="3"/>
  <c r="K167" i="3"/>
  <c r="K229" i="3" s="1"/>
  <c r="J271" i="3"/>
  <c r="J326" i="3" s="1"/>
  <c r="H285" i="3"/>
  <c r="L427" i="3"/>
  <c r="U427" i="3"/>
  <c r="R440" i="3"/>
  <c r="R444" i="3"/>
  <c r="Q453" i="3"/>
  <c r="P468" i="3"/>
  <c r="G476" i="3"/>
  <c r="K476" i="3"/>
  <c r="O476" i="3"/>
  <c r="R475" i="3"/>
  <c r="H476" i="3"/>
  <c r="L476" i="3"/>
  <c r="U476" i="3"/>
  <c r="Q500" i="3"/>
  <c r="P522" i="3"/>
  <c r="R571" i="3"/>
  <c r="F640" i="3"/>
  <c r="J640" i="3"/>
  <c r="N640" i="3"/>
  <c r="I707" i="3"/>
  <c r="M707" i="3"/>
  <c r="V707" i="3"/>
  <c r="P395" i="3"/>
  <c r="R395" i="3"/>
  <c r="P415" i="3"/>
  <c r="R415" i="3"/>
  <c r="F427" i="3"/>
  <c r="I427" i="3"/>
  <c r="M427" i="3"/>
  <c r="Q664" i="3"/>
  <c r="F707" i="3"/>
  <c r="J707" i="3"/>
  <c r="N707" i="3"/>
  <c r="R689" i="3"/>
  <c r="Q697" i="3"/>
  <c r="P697" i="3"/>
  <c r="R706" i="3"/>
  <c r="Q714" i="3"/>
  <c r="M326" i="3"/>
  <c r="Q348" i="3"/>
  <c r="S375" i="3"/>
  <c r="Q399" i="3"/>
  <c r="R422" i="3"/>
  <c r="G427" i="3"/>
  <c r="O427" i="3"/>
  <c r="P440" i="3"/>
  <c r="P444" i="3"/>
  <c r="S445" i="3"/>
  <c r="R468" i="3"/>
  <c r="I476" i="3"/>
  <c r="M476" i="3"/>
  <c r="V476" i="3"/>
  <c r="P475" i="3"/>
  <c r="F476" i="3"/>
  <c r="J476" i="3"/>
  <c r="N476" i="3"/>
  <c r="W476" i="3"/>
  <c r="Q485" i="3"/>
  <c r="P527" i="3"/>
  <c r="P571" i="3"/>
  <c r="P597" i="3"/>
  <c r="W624" i="3"/>
  <c r="H640" i="3"/>
  <c r="L640" i="3"/>
  <c r="U640" i="3"/>
  <c r="P651" i="3"/>
  <c r="P664" i="3"/>
  <c r="R677" i="3"/>
  <c r="R683" i="3"/>
  <c r="R697" i="3"/>
  <c r="H707" i="3"/>
  <c r="L707" i="3"/>
  <c r="U707" i="3"/>
  <c r="S698" i="3"/>
  <c r="S706" i="3" s="1"/>
  <c r="G707" i="3"/>
  <c r="K707" i="3"/>
  <c r="O707" i="3"/>
  <c r="O748" i="3" s="1"/>
  <c r="R714" i="3"/>
  <c r="R747" i="3"/>
  <c r="Q440" i="3"/>
  <c r="Q444" i="3"/>
  <c r="P453" i="3"/>
  <c r="S475" i="3"/>
  <c r="P500" i="3"/>
  <c r="R522" i="3"/>
  <c r="R527" i="3"/>
  <c r="F598" i="3"/>
  <c r="J598" i="3"/>
  <c r="N598" i="3"/>
  <c r="P582" i="3"/>
  <c r="Q597" i="3"/>
  <c r="Q624" i="3"/>
  <c r="Q651" i="3"/>
  <c r="P677" i="3"/>
  <c r="P689" i="3"/>
  <c r="P707" i="3" s="1"/>
  <c r="W707" i="3"/>
  <c r="Q689" i="3"/>
  <c r="P706" i="3"/>
  <c r="R16" i="3"/>
  <c r="F46" i="3"/>
  <c r="N230" i="3"/>
  <c r="P245" i="3"/>
  <c r="R304" i="3"/>
  <c r="G326" i="3"/>
  <c r="S343" i="3"/>
  <c r="P370" i="3"/>
  <c r="R375" i="3"/>
  <c r="P375" i="3"/>
  <c r="Q395" i="3"/>
  <c r="Q415" i="3"/>
  <c r="Q419" i="3"/>
  <c r="P419" i="3"/>
  <c r="H427" i="3"/>
  <c r="R60" i="3"/>
  <c r="P115" i="3"/>
  <c r="S4" i="3"/>
  <c r="S16" i="3" s="1"/>
  <c r="P46" i="3"/>
  <c r="P77" i="3"/>
  <c r="P325" i="3"/>
  <c r="R343" i="3"/>
  <c r="P348" i="3"/>
  <c r="R399" i="3"/>
  <c r="Q422" i="3"/>
  <c r="N427" i="3"/>
  <c r="W427" i="3"/>
  <c r="P426" i="3"/>
  <c r="V427" i="3"/>
  <c r="S624" i="3"/>
  <c r="S651" i="3"/>
  <c r="P16" i="3"/>
  <c r="R34" i="3"/>
  <c r="P60" i="3"/>
  <c r="F230" i="3"/>
  <c r="R271" i="3"/>
  <c r="P304" i="3"/>
  <c r="Q325" i="3"/>
  <c r="P399" i="3"/>
  <c r="R426" i="3"/>
  <c r="R427" i="3" s="1"/>
  <c r="M230" i="3"/>
  <c r="S485" i="3"/>
  <c r="S597" i="3"/>
  <c r="W598" i="3"/>
  <c r="J427" i="3"/>
  <c r="S370" i="3"/>
  <c r="S395" i="3"/>
  <c r="S415" i="3"/>
  <c r="S440" i="3"/>
  <c r="S453" i="3"/>
  <c r="Q475" i="3"/>
  <c r="Q571" i="3"/>
  <c r="R576" i="3"/>
  <c r="P576" i="3"/>
  <c r="U598" i="3"/>
  <c r="V598" i="3"/>
  <c r="V748" i="3" s="1"/>
  <c r="P639" i="3"/>
  <c r="R651" i="3"/>
  <c r="S677" i="3"/>
  <c r="Q375" i="3"/>
  <c r="K354" i="3"/>
  <c r="K370" i="3" s="1"/>
  <c r="K427" i="3" s="1"/>
  <c r="Q370" i="3"/>
  <c r="S416" i="3"/>
  <c r="S419" i="3" s="1"/>
  <c r="S423" i="3"/>
  <c r="S426" i="3" s="1"/>
  <c r="S454" i="3"/>
  <c r="S468" i="3" s="1"/>
  <c r="S486" i="3"/>
  <c r="S500" i="3" s="1"/>
  <c r="Q527" i="3"/>
  <c r="R582" i="3"/>
  <c r="G598" i="3"/>
  <c r="K598" i="3"/>
  <c r="O598" i="3"/>
  <c r="R624" i="3"/>
  <c r="Q639" i="3"/>
  <c r="Q640" i="3" s="1"/>
  <c r="S683" i="3"/>
  <c r="S689" i="3"/>
  <c r="S747" i="3"/>
  <c r="S396" i="3"/>
  <c r="S399" i="3" s="1"/>
  <c r="Q522" i="3"/>
  <c r="S571" i="3"/>
  <c r="S522" i="3"/>
  <c r="Q531" i="3"/>
  <c r="S528" i="3"/>
  <c r="S531" i="3" s="1"/>
  <c r="Q576" i="3"/>
  <c r="S572" i="3"/>
  <c r="S576" i="3" s="1"/>
  <c r="H598" i="3"/>
  <c r="L598" i="3"/>
  <c r="I598" i="3"/>
  <c r="I748" i="3" s="1"/>
  <c r="I749" i="3" s="1"/>
  <c r="M598" i="3"/>
  <c r="P624" i="3"/>
  <c r="S639" i="3"/>
  <c r="W640" i="3"/>
  <c r="S654" i="3"/>
  <c r="S664" i="3" s="1"/>
  <c r="Q683" i="3"/>
  <c r="S709" i="3"/>
  <c r="S714" i="3" s="1"/>
  <c r="Q747" i="3"/>
  <c r="S578" i="3"/>
  <c r="S582" i="3" s="1"/>
  <c r="Q677" i="3"/>
  <c r="S690" i="3"/>
  <c r="S697" i="3" s="1"/>
  <c r="Q34" i="3"/>
  <c r="H46" i="3"/>
  <c r="L46" i="3"/>
  <c r="S77" i="3"/>
  <c r="R77" i="3"/>
  <c r="H166" i="3"/>
  <c r="I121" i="3"/>
  <c r="I166" i="3" s="1"/>
  <c r="R166" i="3"/>
  <c r="J166" i="3"/>
  <c r="K122" i="3"/>
  <c r="K166" i="3" s="1"/>
  <c r="J245" i="3"/>
  <c r="K234" i="3"/>
  <c r="K245" i="3" s="1"/>
  <c r="K46" i="3"/>
  <c r="S34" i="3"/>
  <c r="S35" i="3" s="1"/>
  <c r="G46" i="3"/>
  <c r="Q60" i="3"/>
  <c r="S51" i="3"/>
  <c r="S60" i="3" s="1"/>
  <c r="R115" i="3"/>
  <c r="P166" i="3"/>
  <c r="I229" i="3"/>
  <c r="P229" i="3"/>
  <c r="Q229" i="3"/>
  <c r="S78" i="3"/>
  <c r="S115" i="3" s="1"/>
  <c r="Q115" i="3"/>
  <c r="N46" i="3"/>
  <c r="J115" i="3"/>
  <c r="K99" i="3"/>
  <c r="K115" i="3" s="1"/>
  <c r="Q118" i="3"/>
  <c r="S116" i="3"/>
  <c r="S118" i="3" s="1"/>
  <c r="Q166" i="3"/>
  <c r="S121" i="3"/>
  <c r="S166" i="3" s="1"/>
  <c r="L230" i="3"/>
  <c r="H248" i="3"/>
  <c r="U230" i="3"/>
  <c r="G166" i="3"/>
  <c r="G230" i="3" s="1"/>
  <c r="G349" i="3" s="1"/>
  <c r="Q245" i="3"/>
  <c r="S232" i="3"/>
  <c r="S245" i="3" s="1"/>
  <c r="H271" i="3"/>
  <c r="H326" i="3" s="1"/>
  <c r="P271" i="3"/>
  <c r="S285" i="3"/>
  <c r="Q248" i="3"/>
  <c r="S247" i="3"/>
  <c r="S248" i="3" s="1"/>
  <c r="H99" i="3"/>
  <c r="R229" i="3"/>
  <c r="R245" i="3"/>
  <c r="H245" i="3"/>
  <c r="I271" i="3"/>
  <c r="I326" i="3" s="1"/>
  <c r="Q271" i="3"/>
  <c r="S259" i="3"/>
  <c r="S271" i="3" s="1"/>
  <c r="F326" i="3"/>
  <c r="N326" i="3"/>
  <c r="Q253" i="3"/>
  <c r="S250" i="3"/>
  <c r="S253" i="3" s="1"/>
  <c r="L326" i="3"/>
  <c r="U326" i="3"/>
  <c r="S37" i="3"/>
  <c r="S38" i="3" s="1"/>
  <c r="O230" i="3"/>
  <c r="S229" i="3"/>
  <c r="P253" i="3"/>
  <c r="Q285" i="3"/>
  <c r="Q304" i="3"/>
  <c r="S286" i="3"/>
  <c r="S304" i="3" s="1"/>
  <c r="R326" i="3"/>
  <c r="S345" i="3"/>
  <c r="S348" i="3" s="1"/>
  <c r="K278" i="3"/>
  <c r="K285" i="3" s="1"/>
  <c r="S310" i="3"/>
  <c r="S325" i="3" s="1"/>
  <c r="S326" i="3" s="1"/>
  <c r="Q343" i="3"/>
  <c r="S25" i="2"/>
  <c r="S49" i="2"/>
  <c r="AG65" i="2"/>
  <c r="S90" i="2"/>
  <c r="S45" i="2"/>
  <c r="AG51" i="2"/>
  <c r="R77" i="2"/>
  <c r="J77" i="2"/>
  <c r="AG45" i="2"/>
  <c r="O77" i="2"/>
  <c r="S94" i="2"/>
  <c r="AG125" i="2"/>
  <c r="AG76" i="2"/>
  <c r="K4" i="2"/>
  <c r="K20" i="2" s="1"/>
  <c r="K77" i="2" s="1"/>
  <c r="K398" i="2" s="1"/>
  <c r="Z4" i="2"/>
  <c r="AG46" i="2"/>
  <c r="AG50" i="2"/>
  <c r="S52" i="2"/>
  <c r="S65" i="2" s="1"/>
  <c r="Q69" i="2"/>
  <c r="AG69" i="2" s="1"/>
  <c r="P72" i="2"/>
  <c r="AG72" i="2" s="1"/>
  <c r="S73" i="2"/>
  <c r="S76" i="2" s="1"/>
  <c r="S77" i="2" s="1"/>
  <c r="Z78" i="2"/>
  <c r="P90" i="2"/>
  <c r="AG90" i="2" s="1"/>
  <c r="Q94" i="2"/>
  <c r="AG94" i="2" s="1"/>
  <c r="S247" i="2"/>
  <c r="S4" i="2"/>
  <c r="S20" i="2" s="1"/>
  <c r="AG73" i="2"/>
  <c r="AG104" i="2"/>
  <c r="S128" i="2"/>
  <c r="S135" i="2" s="1"/>
  <c r="R248" i="2"/>
  <c r="S221" i="2"/>
  <c r="S95" i="2"/>
  <c r="S103" i="2" s="1"/>
  <c r="P135" i="2"/>
  <c r="AG135" i="2" s="1"/>
  <c r="AG130" i="2"/>
  <c r="V248" i="2"/>
  <c r="AG134" i="2"/>
  <c r="AG146" i="2"/>
  <c r="S151" i="2"/>
  <c r="S172" i="2" s="1"/>
  <c r="S173" i="2"/>
  <c r="S177" i="2" s="1"/>
  <c r="AG179" i="2"/>
  <c r="Q181" i="2"/>
  <c r="AG181" i="2" s="1"/>
  <c r="S182" i="2"/>
  <c r="S183" i="2" s="1"/>
  <c r="Q221" i="2"/>
  <c r="AG221" i="2" s="1"/>
  <c r="Q274" i="2"/>
  <c r="AG274" i="2" s="1"/>
  <c r="AG250" i="2"/>
  <c r="Q289" i="2"/>
  <c r="S339" i="2"/>
  <c r="S347" i="2"/>
  <c r="AG356" i="2"/>
  <c r="P357" i="2"/>
  <c r="S178" i="2"/>
  <c r="S181" i="2" s="1"/>
  <c r="Q247" i="2"/>
  <c r="AG247" i="2" s="1"/>
  <c r="R289" i="2"/>
  <c r="AG277" i="2"/>
  <c r="S327" i="2"/>
  <c r="O398" i="2"/>
  <c r="O399" i="2" s="1"/>
  <c r="Q226" i="2"/>
  <c r="AG226" i="2" s="1"/>
  <c r="S227" i="2"/>
  <c r="S232" i="2" s="1"/>
  <c r="S274" i="2"/>
  <c r="S290" i="2" s="1"/>
  <c r="V357" i="2"/>
  <c r="V398" i="2" s="1"/>
  <c r="AG397" i="2"/>
  <c r="T398" i="2"/>
  <c r="T399" i="2" s="1"/>
  <c r="AG136" i="2"/>
  <c r="AG273" i="2"/>
  <c r="P289" i="2"/>
  <c r="V290" i="2"/>
  <c r="F290" i="2"/>
  <c r="J290" i="2"/>
  <c r="N290" i="2"/>
  <c r="N398" i="2" s="1"/>
  <c r="N399" i="2" s="1"/>
  <c r="J398" i="2"/>
  <c r="I398" i="2"/>
  <c r="I399" i="2" s="1"/>
  <c r="M398" i="2"/>
  <c r="M399" i="2" s="1"/>
  <c r="Q314" i="2"/>
  <c r="AG314" i="2" s="1"/>
  <c r="Q327" i="2"/>
  <c r="AG327" i="2" s="1"/>
  <c r="Q339" i="2"/>
  <c r="AG339" i="2" s="1"/>
  <c r="AG342" i="2"/>
  <c r="Q347" i="2"/>
  <c r="S292" i="2"/>
  <c r="S301" i="2" s="1"/>
  <c r="AG328" i="2"/>
  <c r="S348" i="2"/>
  <c r="S356" i="2" s="1"/>
  <c r="S391" i="2"/>
  <c r="S397" i="2" s="1"/>
  <c r="AG348" i="2"/>
  <c r="S359" i="2"/>
  <c r="S364" i="2" s="1"/>
  <c r="P364" i="2"/>
  <c r="AG364" i="2" s="1"/>
  <c r="Q35" i="1"/>
  <c r="V35" i="1" s="1"/>
  <c r="V34" i="1"/>
  <c r="F46" i="1"/>
  <c r="N46" i="1"/>
  <c r="G46" i="1"/>
  <c r="O46" i="1"/>
  <c r="S60" i="1"/>
  <c r="J46" i="1"/>
  <c r="W60" i="1"/>
  <c r="L46" i="1"/>
  <c r="P34" i="1"/>
  <c r="W49" i="1"/>
  <c r="R231" i="1"/>
  <c r="V69" i="1"/>
  <c r="S79" i="1"/>
  <c r="W80" i="1"/>
  <c r="W81" i="1"/>
  <c r="K99" i="1"/>
  <c r="K115" i="1" s="1"/>
  <c r="J115" i="1"/>
  <c r="J231" i="1" s="1"/>
  <c r="W105" i="1"/>
  <c r="S230" i="1"/>
  <c r="H16" i="1"/>
  <c r="H35" i="1" s="1"/>
  <c r="H46" i="1" s="1"/>
  <c r="P16" i="1"/>
  <c r="S17" i="1"/>
  <c r="V37" i="1"/>
  <c r="P38" i="1"/>
  <c r="P46" i="1" s="1"/>
  <c r="Q60" i="1"/>
  <c r="V60" i="1" s="1"/>
  <c r="S76" i="1"/>
  <c r="S77" i="1" s="1"/>
  <c r="S80" i="1"/>
  <c r="S81" i="1"/>
  <c r="V90" i="1"/>
  <c r="V4" i="1"/>
  <c r="S7" i="1"/>
  <c r="S16" i="1" s="1"/>
  <c r="S9" i="1"/>
  <c r="S11" i="1"/>
  <c r="Q38" i="1"/>
  <c r="P231" i="1"/>
  <c r="Q77" i="1"/>
  <c r="Q115" i="1"/>
  <c r="V115" i="1" s="1"/>
  <c r="V78" i="1"/>
  <c r="V79" i="1"/>
  <c r="O231" i="1"/>
  <c r="K37" i="1"/>
  <c r="K38" i="1" s="1"/>
  <c r="K46" i="1" s="1"/>
  <c r="W78" i="1"/>
  <c r="S104" i="1"/>
  <c r="V104" i="1"/>
  <c r="V107" i="1"/>
  <c r="Q118" i="1"/>
  <c r="I121" i="1"/>
  <c r="I166" i="1" s="1"/>
  <c r="I231" i="1" s="1"/>
  <c r="V122" i="1"/>
  <c r="V124" i="1"/>
  <c r="W125" i="1"/>
  <c r="V128" i="1"/>
  <c r="V130" i="1"/>
  <c r="W132" i="1"/>
  <c r="V167" i="1"/>
  <c r="V172" i="1"/>
  <c r="Q230" i="1"/>
  <c r="V230" i="1" s="1"/>
  <c r="Q246" i="1"/>
  <c r="V233" i="1"/>
  <c r="W235" i="1"/>
  <c r="I327" i="1"/>
  <c r="R327" i="1"/>
  <c r="V126" i="1"/>
  <c r="Q166" i="1"/>
  <c r="V166" i="1" s="1"/>
  <c r="R246" i="1"/>
  <c r="W233" i="1"/>
  <c r="K327" i="1"/>
  <c r="F350" i="1"/>
  <c r="K122" i="1"/>
  <c r="K166" i="1" s="1"/>
  <c r="K231" i="1" s="1"/>
  <c r="U125" i="1"/>
  <c r="V134" i="1"/>
  <c r="S233" i="1"/>
  <c r="S246" i="1" s="1"/>
  <c r="K235" i="1"/>
  <c r="K246" i="1" s="1"/>
  <c r="H327" i="1"/>
  <c r="W349" i="1"/>
  <c r="U350" i="1"/>
  <c r="H246" i="1"/>
  <c r="S251" i="1"/>
  <c r="S254" i="1" s="1"/>
  <c r="P254" i="1"/>
  <c r="S260" i="1"/>
  <c r="S272" i="1" s="1"/>
  <c r="Q272" i="1"/>
  <c r="V272" i="1" s="1"/>
  <c r="S279" i="1"/>
  <c r="S281" i="1"/>
  <c r="S284" i="1"/>
  <c r="P286" i="1"/>
  <c r="W287" i="1"/>
  <c r="S315" i="1"/>
  <c r="S329" i="1"/>
  <c r="S344" i="1" s="1"/>
  <c r="V346" i="1"/>
  <c r="W248" i="1"/>
  <c r="Q249" i="1"/>
  <c r="V249" i="1" s="1"/>
  <c r="Q254" i="1"/>
  <c r="V254" i="1" s="1"/>
  <c r="V262" i="1"/>
  <c r="J272" i="1"/>
  <c r="V280" i="1"/>
  <c r="Q286" i="1"/>
  <c r="V286" i="1" s="1"/>
  <c r="V291" i="1"/>
  <c r="S292" i="1"/>
  <c r="S305" i="1" s="1"/>
  <c r="V296" i="1"/>
  <c r="S300" i="1"/>
  <c r="V301" i="1"/>
  <c r="Q305" i="1"/>
  <c r="V305" i="1" s="1"/>
  <c r="V311" i="1"/>
  <c r="S312" i="1"/>
  <c r="W329" i="1"/>
  <c r="W346" i="1"/>
  <c r="S348" i="1"/>
  <c r="N246" i="1"/>
  <c r="N350" i="1" s="1"/>
  <c r="J254" i="1"/>
  <c r="W262" i="1"/>
  <c r="J286" i="1"/>
  <c r="W311" i="1"/>
  <c r="W260" i="1"/>
  <c r="S311" i="1"/>
  <c r="I346" i="1"/>
  <c r="I349" i="1" s="1"/>
  <c r="G231" i="1" l="1"/>
  <c r="G350" i="1" s="1"/>
  <c r="P327" i="1"/>
  <c r="V231" i="1"/>
  <c r="S34" i="1"/>
  <c r="Q357" i="2"/>
  <c r="AG118" i="2"/>
  <c r="H166" i="1"/>
  <c r="H231" i="1" s="1"/>
  <c r="W305" i="1"/>
  <c r="R350" i="1"/>
  <c r="S115" i="1"/>
  <c r="S231" i="1" s="1"/>
  <c r="P35" i="1"/>
  <c r="S357" i="2"/>
  <c r="Q290" i="2"/>
  <c r="S46" i="3"/>
  <c r="R640" i="3"/>
  <c r="P35" i="3"/>
  <c r="M349" i="3"/>
  <c r="H350" i="1"/>
  <c r="J327" i="1"/>
  <c r="J350" i="1" s="1"/>
  <c r="S349" i="1"/>
  <c r="W118" i="1"/>
  <c r="R290" i="2"/>
  <c r="R398" i="2" s="1"/>
  <c r="R399" i="2" s="1"/>
  <c r="N349" i="3"/>
  <c r="S640" i="3"/>
  <c r="L748" i="3"/>
  <c r="R707" i="3"/>
  <c r="N748" i="3"/>
  <c r="G748" i="3"/>
  <c r="G749" i="3" s="1"/>
  <c r="J748" i="3"/>
  <c r="F748" i="3"/>
  <c r="F749" i="3" s="1"/>
  <c r="U748" i="3"/>
  <c r="Q476" i="3"/>
  <c r="U349" i="3"/>
  <c r="U749" i="3" s="1"/>
  <c r="P598" i="3"/>
  <c r="P476" i="3"/>
  <c r="R476" i="3"/>
  <c r="S476" i="3"/>
  <c r="K326" i="3"/>
  <c r="K349" i="3" s="1"/>
  <c r="Q326" i="3"/>
  <c r="O349" i="3"/>
  <c r="F349" i="3"/>
  <c r="H748" i="3"/>
  <c r="H749" i="3" s="1"/>
  <c r="R598" i="3"/>
  <c r="K230" i="3"/>
  <c r="Q35" i="3"/>
  <c r="M748" i="3"/>
  <c r="J230" i="3"/>
  <c r="J349" i="3" s="1"/>
  <c r="K748" i="3"/>
  <c r="P427" i="3"/>
  <c r="P326" i="3"/>
  <c r="L349" i="3"/>
  <c r="Q230" i="3"/>
  <c r="Q349" i="3" s="1"/>
  <c r="S598" i="3"/>
  <c r="Q598" i="3"/>
  <c r="Q427" i="3"/>
  <c r="P230" i="3"/>
  <c r="S230" i="3"/>
  <c r="S349" i="3" s="1"/>
  <c r="W748" i="3"/>
  <c r="Q707" i="3"/>
  <c r="R35" i="3"/>
  <c r="S707" i="3"/>
  <c r="P640" i="3"/>
  <c r="S427" i="3"/>
  <c r="R230" i="3"/>
  <c r="I99" i="3"/>
  <c r="I115" i="3" s="1"/>
  <c r="I230" i="3" s="1"/>
  <c r="I349" i="3" s="1"/>
  <c r="H115" i="3"/>
  <c r="H230" i="3" s="1"/>
  <c r="H349" i="3" s="1"/>
  <c r="AG357" i="2"/>
  <c r="S126" i="2"/>
  <c r="Q77" i="2"/>
  <c r="AG347" i="2"/>
  <c r="Q248" i="2"/>
  <c r="Q398" i="2" s="1"/>
  <c r="Q399" i="2" s="1"/>
  <c r="P248" i="2"/>
  <c r="AG248" i="2" s="1"/>
  <c r="P126" i="2"/>
  <c r="AG289" i="2"/>
  <c r="P290" i="2"/>
  <c r="AG290" i="2" s="1"/>
  <c r="S248" i="2"/>
  <c r="S398" i="2" s="1"/>
  <c r="S399" i="2" s="1"/>
  <c r="Q126" i="2"/>
  <c r="P77" i="2"/>
  <c r="P350" i="1"/>
  <c r="K350" i="1"/>
  <c r="Q231" i="1"/>
  <c r="V246" i="1"/>
  <c r="S326" i="1"/>
  <c r="S286" i="1"/>
  <c r="W246" i="1"/>
  <c r="W230" i="1"/>
  <c r="W166" i="1"/>
  <c r="Q327" i="1"/>
  <c r="I350" i="1"/>
  <c r="W254" i="1"/>
  <c r="W249" i="1"/>
  <c r="S35" i="1"/>
  <c r="W286" i="1"/>
  <c r="W115" i="1"/>
  <c r="V38" i="1"/>
  <c r="Q46" i="1"/>
  <c r="V46" i="1" s="1"/>
  <c r="P748" i="3" l="1"/>
  <c r="Q748" i="3"/>
  <c r="S327" i="1"/>
  <c r="S350" i="1" s="1"/>
  <c r="R748" i="3"/>
  <c r="P349" i="3"/>
  <c r="R349" i="3"/>
  <c r="S748" i="3"/>
  <c r="AG77" i="2"/>
  <c r="AG126" i="2"/>
  <c r="P398" i="2"/>
  <c r="P399" i="2" s="1"/>
  <c r="V327" i="1"/>
  <c r="V350" i="1" s="1"/>
  <c r="Q350" i="1"/>
  <c r="W327" i="1"/>
  <c r="W231" i="1"/>
  <c r="W350" i="1" l="1"/>
</calcChain>
</file>

<file path=xl/sharedStrings.xml><?xml version="1.0" encoding="utf-8"?>
<sst xmlns="http://schemas.openxmlformats.org/spreadsheetml/2006/main" count="2344" uniqueCount="693">
  <si>
    <t>קוד</t>
  </si>
  <si>
    <t>מס' כרטיס</t>
  </si>
  <si>
    <t>סעיף</t>
  </si>
  <si>
    <t>פרק</t>
  </si>
  <si>
    <t>שם כרטיס</t>
  </si>
  <si>
    <t>תקציב 2014</t>
  </si>
  <si>
    <t>ביצוע עד 10/2014</t>
  </si>
  <si>
    <t>ביצוע משוער 2014</t>
  </si>
  <si>
    <t>תקציב 2015</t>
  </si>
  <si>
    <t>ביצוע 1-7/2015</t>
  </si>
  <si>
    <t>ביצוע משוער 2015</t>
  </si>
  <si>
    <t xml:space="preserve">עדכון תקציב 2015 מס' 2 </t>
  </si>
  <si>
    <t>ביצוע חזוי 2015</t>
  </si>
  <si>
    <t>תקציב 2016</t>
  </si>
  <si>
    <t>ביצוע 31.08</t>
  </si>
  <si>
    <t>תקציב 2017</t>
  </si>
  <si>
    <t>ביצוע 1-10/2017</t>
  </si>
  <si>
    <t>עדכון תקציב 2017</t>
  </si>
  <si>
    <t>ביצוע חזוי 2017</t>
  </si>
  <si>
    <t>תקציב 2018</t>
  </si>
  <si>
    <t>הדפסה</t>
  </si>
  <si>
    <t>מיסים ואגרות</t>
  </si>
  <si>
    <t>ארנונה</t>
  </si>
  <si>
    <t>הכנסות פיגורים</t>
  </si>
  <si>
    <t>ארנונה פיגורים 2008</t>
  </si>
  <si>
    <t>לסגור סעיף ולעדכן גביה</t>
  </si>
  <si>
    <t>ארנונה פירורים 2009</t>
  </si>
  <si>
    <t>ארנונה פיגורים 2010</t>
  </si>
  <si>
    <t>ארנונה פיגורים 2011</t>
  </si>
  <si>
    <t>ארנונה פיגורים 2012</t>
  </si>
  <si>
    <t>ארנונה פיגורים 2013</t>
  </si>
  <si>
    <t>ארנונה פיגורים 2014</t>
  </si>
  <si>
    <t>ארנונה פיגורים 2015</t>
  </si>
  <si>
    <t>ארנונה פיגורים 2016</t>
  </si>
  <si>
    <t>הנחות לזכאים</t>
  </si>
  <si>
    <t>מיסים</t>
  </si>
  <si>
    <t>תעודות ואישורים</t>
  </si>
  <si>
    <t>גביית הוצאות אכיפה</t>
  </si>
  <si>
    <t>אגרות מים ובניה</t>
  </si>
  <si>
    <t>היטל ביוב</t>
  </si>
  <si>
    <t>הכנסות שונות</t>
  </si>
  <si>
    <t>אגרת רשיונות ושונות</t>
  </si>
  <si>
    <t>אגרת מים בגבעה</t>
  </si>
  <si>
    <t>ביוב מרכזי בגבעה</t>
  </si>
  <si>
    <t>מט"ש הכנסות</t>
  </si>
  <si>
    <t>היה אפס התקציב</t>
  </si>
  <si>
    <t>290</t>
  </si>
  <si>
    <t>129700</t>
  </si>
  <si>
    <t>אגרת בניה בגבעה</t>
  </si>
  <si>
    <t>129800</t>
  </si>
  <si>
    <t>אישורים חברת חשמל גבעה</t>
  </si>
  <si>
    <t>השת" הכנת תוכנית מפורתת</t>
  </si>
  <si>
    <t>131690</t>
  </si>
  <si>
    <t>היטל השבחה</t>
  </si>
  <si>
    <t>החזר ביטוח לאומי תאונת עב</t>
  </si>
  <si>
    <t>השת" מפעל הפיס</t>
  </si>
  <si>
    <t>הכנסות מריבית</t>
  </si>
  <si>
    <t>אגרות והיטלים</t>
  </si>
  <si>
    <t>סה"כ מיסים ואגרות</t>
  </si>
  <si>
    <t>מענק כללי</t>
  </si>
  <si>
    <t xml:space="preserve">מענק כללי </t>
  </si>
  <si>
    <t>מענק מיוחד</t>
  </si>
  <si>
    <t>תקבולים ממשרד הפנים</t>
  </si>
  <si>
    <t>משרד הפנים שונות</t>
  </si>
  <si>
    <t>מענק בחירות</t>
  </si>
  <si>
    <t>מענק מותנה</t>
  </si>
  <si>
    <t>מ.הפנים אבטחה מאויים 6</t>
  </si>
  <si>
    <t xml:space="preserve">סה"כ מענקים </t>
  </si>
  <si>
    <t>שירותים אחרים</t>
  </si>
  <si>
    <t>מכירת עגלות אשפה</t>
  </si>
  <si>
    <t>920</t>
  </si>
  <si>
    <t>213200</t>
  </si>
  <si>
    <t>אגרת רשיונות עסקים</t>
  </si>
  <si>
    <t>216900</t>
  </si>
  <si>
    <t>משרד לבטחון פנים- שמירת בתי"ס</t>
  </si>
  <si>
    <t>ההכנסה מתקבלת ומועברת ישירות למשכל</t>
  </si>
  <si>
    <t>משרד לביטחון פנים עיר ללא אלימ</t>
  </si>
  <si>
    <t>פריצת דרכים בגבעה</t>
  </si>
  <si>
    <t>בטיחות בדרכים</t>
  </si>
  <si>
    <t>כופר חניה</t>
  </si>
  <si>
    <t>נכסים צבוריים</t>
  </si>
  <si>
    <t>השת" משרד חקלאות</t>
  </si>
  <si>
    <t>סה"כ שירותים אחרים</t>
  </si>
  <si>
    <t>מחלקת חינוך</t>
  </si>
  <si>
    <t>מסגרת קיץ לתלמיד</t>
  </si>
  <si>
    <t>מסגרת קיץ-חנ"מ</t>
  </si>
  <si>
    <t>מסגרת קיץ פר מוסד</t>
  </si>
  <si>
    <t>ת.תקשוב-קיזוז רשויות</t>
  </si>
  <si>
    <t>חיוב בגין תלמידי חוץ</t>
  </si>
  <si>
    <t>סה"כ מנהל חינוך</t>
  </si>
  <si>
    <t>שכ"ל על יסודי</t>
  </si>
  <si>
    <t>מענק השתלמות</t>
  </si>
  <si>
    <t>קרן השתלמות לשכ"ל</t>
  </si>
  <si>
    <t xml:space="preserve">סייעת 2 והעשרה </t>
  </si>
  <si>
    <t>עוזרות לגננות</t>
  </si>
  <si>
    <t>תכנית ניצנים - גנ"י</t>
  </si>
  <si>
    <t xml:space="preserve">שכל"מ גנ'י קדם חובה </t>
  </si>
  <si>
    <t>גננות עובדות מדינה</t>
  </si>
  <si>
    <t>מותנה</t>
  </si>
  <si>
    <t>טרום חובה</t>
  </si>
  <si>
    <t>סה"כ גני ילדים</t>
  </si>
  <si>
    <t>מפעל הפיס ריהוט</t>
  </si>
  <si>
    <t>שכר דירה</t>
  </si>
  <si>
    <t>השת" ריהוט מ.חנוך</t>
  </si>
  <si>
    <t>מזכירים</t>
  </si>
  <si>
    <t xml:space="preserve">אגרת שכפול יסודי </t>
  </si>
  <si>
    <t>גמול מנהליות נ.עצמי</t>
  </si>
  <si>
    <t>תוכנית סולמות אנגלית</t>
  </si>
  <si>
    <t>שרתים</t>
  </si>
  <si>
    <t xml:space="preserve">אגרת שכפול פר תלמיד </t>
  </si>
  <si>
    <t>סייעת שניה בגנ"י</t>
  </si>
  <si>
    <t>313300</t>
  </si>
  <si>
    <t>ניהול עצמי משופר א-ו</t>
  </si>
  <si>
    <t xml:space="preserve">מרכזי חינוך </t>
  </si>
  <si>
    <t>עובד סיוע משופר א-ח</t>
  </si>
  <si>
    <t>תוספת דפרנציאלית נ. עצמי</t>
  </si>
  <si>
    <t>השת" מ.חנוך פרויקטים</t>
  </si>
  <si>
    <t>השתת" פסיכומטרי</t>
  </si>
  <si>
    <t>ה.נלוות ח.מיוחד-ערבי</t>
  </si>
  <si>
    <t>העשרה ח"מ-גנ"י-ערבי</t>
  </si>
  <si>
    <t>העשרה ח.מיוחד-ערבי</t>
  </si>
  <si>
    <t>הכנסות שונות מס חינוך</t>
  </si>
  <si>
    <t>הנגשה אקוסטית</t>
  </si>
  <si>
    <t>הנגשה פרטנית לתלמידים</t>
  </si>
  <si>
    <t>התנסות מדעית טכנולוגית</t>
  </si>
  <si>
    <t>אבטחת מוסדות חינוך</t>
  </si>
  <si>
    <t>תוכנית דוברת</t>
  </si>
  <si>
    <t>חוק שילוב סייעות</t>
  </si>
  <si>
    <t>הכנסות מ.חינוך פינות עבודה</t>
  </si>
  <si>
    <t>ביטוח תלמידים</t>
  </si>
  <si>
    <t>ביטוח תלמידי יסודי</t>
  </si>
  <si>
    <t>מעדוניות ברשויות</t>
  </si>
  <si>
    <t>סה"כ חינוך יסודי</t>
  </si>
  <si>
    <t>שירות פסיכולוגי</t>
  </si>
  <si>
    <t>סל תלמיד לחט"ב</t>
  </si>
  <si>
    <t>סה"כ חט"ב</t>
  </si>
  <si>
    <t>מילוי מקום מוסודת</t>
  </si>
  <si>
    <t>סייעות טיפוליות</t>
  </si>
  <si>
    <t>הסעות חינוך</t>
  </si>
  <si>
    <t>1317801920+1317802920+1317803920</t>
  </si>
  <si>
    <t>סייעות ציל"ה</t>
  </si>
  <si>
    <t>החזר נסיעות ח.מיוחד</t>
  </si>
  <si>
    <t>דמי שתיה</t>
  </si>
  <si>
    <t>רכב מנהלים</t>
  </si>
  <si>
    <t>רכב סגנים</t>
  </si>
  <si>
    <t>ליווי חינוך מיוחד</t>
  </si>
  <si>
    <t>1313410920+1313411920+1313412920</t>
  </si>
  <si>
    <t>חיוב אגרת תלמיד חוץ</t>
  </si>
  <si>
    <t>שעות פרטניות -עוז לתמורה</t>
  </si>
  <si>
    <t>1315741920+1315735920+1315732920+1315170920+1315170920</t>
  </si>
  <si>
    <t>שעות תומכות - עוז לתמורה</t>
  </si>
  <si>
    <t>1315727920+1315751920</t>
  </si>
  <si>
    <t>השת" בחשמל בי"ס עתיד</t>
  </si>
  <si>
    <t>תשלומי הורים חומרים</t>
  </si>
  <si>
    <t>מגמת אומניות העיצוב</t>
  </si>
  <si>
    <t xml:space="preserve">דמי שכפול על יסודי </t>
  </si>
  <si>
    <t>שעות שילוב חט"ע</t>
  </si>
  <si>
    <t xml:space="preserve">בי"ס קהילתיים עי"ס </t>
  </si>
  <si>
    <t>מנהל תחום תרבותי</t>
  </si>
  <si>
    <t>משרות דרגות קידום</t>
  </si>
  <si>
    <t>סל שע.לתפקיד עוז לתמורה</t>
  </si>
  <si>
    <t>גמול רכז הל"ל</t>
  </si>
  <si>
    <t>מסלול 7 משופר חרש/עוור</t>
  </si>
  <si>
    <t>גמול בגרות אחוזי</t>
  </si>
  <si>
    <t>הבראה וביגוד-שכ"ל</t>
  </si>
  <si>
    <t xml:space="preserve">חינוך תעבורתי </t>
  </si>
  <si>
    <t>מוביל בי"ס מניעת סמים</t>
  </si>
  <si>
    <t>מענק יובל על יסודי</t>
  </si>
  <si>
    <t xml:space="preserve">מענקי השתלמות </t>
  </si>
  <si>
    <t>ש.תומכות נוספות-עוז לתמורה</t>
  </si>
  <si>
    <t>אוריינות מדעית</t>
  </si>
  <si>
    <t>מוחזקות חדש</t>
  </si>
  <si>
    <t>מנהל עוז לתמורה</t>
  </si>
  <si>
    <t>עתודה מדעית טכנולוגית</t>
  </si>
  <si>
    <t>ש.פרטניות נוספות-עוז לתמורה</t>
  </si>
  <si>
    <t>מוחזקות עוז לתמורה</t>
  </si>
  <si>
    <t>ש.פרטניות-עוז לתמורה</t>
  </si>
  <si>
    <t>מתמטיקה תחילה</t>
  </si>
  <si>
    <t>ש.תומכות-עוז לתמורה</t>
  </si>
  <si>
    <t xml:space="preserve">רכז מעורבות חברתית </t>
  </si>
  <si>
    <t>רכב מנהלים בתי"ס ע"י</t>
  </si>
  <si>
    <t xml:space="preserve">גמול טיולים-חוץ בית </t>
  </si>
  <si>
    <t xml:space="preserve">רכב סגני מנהלים </t>
  </si>
  <si>
    <t>אמ"ץ ותל"ם</t>
  </si>
  <si>
    <t>סה"כ חינוך על יסודי</t>
  </si>
  <si>
    <t>קב"ט בחינוך</t>
  </si>
  <si>
    <t>שינוי תאור במערכת רק</t>
  </si>
  <si>
    <t>השת" בציוד בטיחות</t>
  </si>
  <si>
    <t>מרכיבי בטחון מסודות חינוך</t>
  </si>
  <si>
    <t xml:space="preserve">פסיכולוגים חינוכיים </t>
  </si>
  <si>
    <t>שפ"י (שעות הדרכה)</t>
  </si>
  <si>
    <t>סייעות רפאיות</t>
  </si>
  <si>
    <t>ביטוח ילדים</t>
  </si>
  <si>
    <t>סל תלמיד-חט"ב_+שכפול</t>
  </si>
  <si>
    <t>1314100920+1317500920</t>
  </si>
  <si>
    <t>חברה הוגנת</t>
  </si>
  <si>
    <t>הבראה וביגוד</t>
  </si>
  <si>
    <t>גמול טיולים</t>
  </si>
  <si>
    <t>השתתפות בטיולים</t>
  </si>
  <si>
    <t>ציוד ומכשירים חנ"ג</t>
  </si>
  <si>
    <t>קבסי"ם  מ.חנוך</t>
  </si>
  <si>
    <t>תוכנית מניפה למניעת נשירה</t>
  </si>
  <si>
    <t>שעות תפקיד רכז מקצוע</t>
  </si>
  <si>
    <t>מענק יובל</t>
  </si>
  <si>
    <t>הסעות ח.מיוחד חיפה</t>
  </si>
  <si>
    <t xml:space="preserve">הסעות חיפה </t>
  </si>
  <si>
    <t>שיפור סביבה תיכון</t>
  </si>
  <si>
    <t>פדיון ימי חופשה שרתים</t>
  </si>
  <si>
    <t>שכ"ל גני ילדים</t>
  </si>
  <si>
    <t>ניהול עצמי משופר</t>
  </si>
  <si>
    <t>הצטידות גני ילדים</t>
  </si>
  <si>
    <t>אולפנים</t>
  </si>
  <si>
    <t>עובדי סיוע - ניהול עצמי</t>
  </si>
  <si>
    <t>מעדונית ברשיות</t>
  </si>
  <si>
    <t>תוספת דפרנצילית- ניהול עצמי</t>
  </si>
  <si>
    <t>ביטוח לאומי הקצבה</t>
  </si>
  <si>
    <t>מחשבים לבי"ס</t>
  </si>
  <si>
    <t>חותם "רשיונות למחשבים"</t>
  </si>
  <si>
    <t>הצטיידות</t>
  </si>
  <si>
    <t>יוזמות מנהל מחוז</t>
  </si>
  <si>
    <t>תוכנית אומץ מנ"ע ונחשון</t>
  </si>
  <si>
    <t>השלמת בגרות לי"ג</t>
  </si>
  <si>
    <t>שרותי היקף בתי נוער</t>
  </si>
  <si>
    <t>מוחזקות חדשה בי"ס תיכון</t>
  </si>
  <si>
    <t>1315731920+1315208920</t>
  </si>
  <si>
    <t>מסלול משופר חרשים עוורים</t>
  </si>
  <si>
    <t>מטה שנהר וקרמניצר</t>
  </si>
  <si>
    <t>שרותים אחרים מ.חנוך</t>
  </si>
  <si>
    <t>תהיל"ה</t>
  </si>
  <si>
    <t>מ.הפיס -ספריה צבורית</t>
  </si>
  <si>
    <t>ספריה ציבורית</t>
  </si>
  <si>
    <t>מסגרת קיץ פר תלמיד רגיל</t>
  </si>
  <si>
    <t>1311000920+1311100920</t>
  </si>
  <si>
    <t>הסעות מסגרות קיץ פר מסלול</t>
  </si>
  <si>
    <t>ש.קיץ-מפגעי בטיחות</t>
  </si>
  <si>
    <t>סה"כ חינוך</t>
  </si>
  <si>
    <t>תרבות וספורט</t>
  </si>
  <si>
    <t>משרד התרבות - קידום נוער</t>
  </si>
  <si>
    <t>משרד התרבות יחידת נוער</t>
  </si>
  <si>
    <t>השתתפות הורים</t>
  </si>
  <si>
    <t>מ.תחבורה תרבות</t>
  </si>
  <si>
    <t>מ.חנוך -מעדנית נוער</t>
  </si>
  <si>
    <t>חינוך מבוגרים השת"</t>
  </si>
  <si>
    <t>חנוך מבוגרים השכלה</t>
  </si>
  <si>
    <t>בית נוער הפעלה</t>
  </si>
  <si>
    <t>מ.חינוך נוער</t>
  </si>
  <si>
    <t>פעילות ספורט</t>
  </si>
  <si>
    <t>פעולות ספורט מ.חינוך</t>
  </si>
  <si>
    <t>אולם ספורט מפעל הפיס</t>
  </si>
  <si>
    <t>סה"כ תרבות וספורט</t>
  </si>
  <si>
    <t>בריאות</t>
  </si>
  <si>
    <t>מ.הבריאות</t>
  </si>
  <si>
    <t>סה"כ בריאות</t>
  </si>
  <si>
    <t>מחלקת רווחה</t>
  </si>
  <si>
    <t>שכר עובדי לשכות</t>
  </si>
  <si>
    <t>הוצ ארגוניות רשויות</t>
  </si>
  <si>
    <t>מחשוב מח רווחה</t>
  </si>
  <si>
    <t>הנהלה</t>
  </si>
  <si>
    <t>טיפול בהורים ובילדיה</t>
  </si>
  <si>
    <t xml:space="preserve">מקלטים לנשים מוכות </t>
  </si>
  <si>
    <t>משפחות במצוקה במקהלה</t>
  </si>
  <si>
    <t>סיוע למשפחות עם ילדים</t>
  </si>
  <si>
    <t>מרכזי ועדות-חוק סיע</t>
  </si>
  <si>
    <t>1342004930+1342006930+1342007930+1343105930</t>
  </si>
  <si>
    <t>השת" נשים בקיטנה</t>
  </si>
  <si>
    <t>קיטנות לאמהות</t>
  </si>
  <si>
    <t>בית חם לנערות</t>
  </si>
  <si>
    <t>צרכי משרד רווחה</t>
  </si>
  <si>
    <t>תוכנית עם פנים</t>
  </si>
  <si>
    <t>תוכנית עם הפנים לקהילה</t>
  </si>
  <si>
    <t>סמך מקצועי</t>
  </si>
  <si>
    <t>נושמים לרווחה</t>
  </si>
  <si>
    <t>תמ"ת  משפחתון</t>
  </si>
  <si>
    <t>פרוייקט וינגייט</t>
  </si>
  <si>
    <t>טיפול במשפחה</t>
  </si>
  <si>
    <t xml:space="preserve">ת.לאומית ילד ונוער </t>
  </si>
  <si>
    <t>אחזקת ילדים בפנימיות</t>
  </si>
  <si>
    <t xml:space="preserve">טיפול במשפחות אמנה </t>
  </si>
  <si>
    <t>טיפול בילד בקהילה</t>
  </si>
  <si>
    <t>מועדוניות משותפות</t>
  </si>
  <si>
    <t xml:space="preserve">מרכזי טיפול באלימות </t>
  </si>
  <si>
    <t>משפחתון השתת" ופעילות</t>
  </si>
  <si>
    <t>רכזות משפחתונים</t>
  </si>
  <si>
    <t>1343101930+1344005930</t>
  </si>
  <si>
    <t>תכנית עם הפנים לקהילה</t>
  </si>
  <si>
    <t>אומנה/ילדים במעון</t>
  </si>
  <si>
    <t>1343007930+1343901930</t>
  </si>
  <si>
    <t xml:space="preserve">ילדים במעונות יום </t>
  </si>
  <si>
    <t>טיפול בילד ונוער</t>
  </si>
  <si>
    <t>השתת פעילות בית זקנים</t>
  </si>
  <si>
    <t xml:space="preserve">טיפול בקהילה-א.ותיק </t>
  </si>
  <si>
    <t xml:space="preserve">מועדונים מועשרים </t>
  </si>
  <si>
    <t>נופשונים להבראה</t>
  </si>
  <si>
    <t>הבראה לזקן</t>
  </si>
  <si>
    <t>צרכים מיוחדים לזקן</t>
  </si>
  <si>
    <t>מעשי-ם</t>
  </si>
  <si>
    <t>נופשונים - מש-ה</t>
  </si>
  <si>
    <t>סדור מפגרים במוסדות</t>
  </si>
  <si>
    <t>מפגרים במעון אמוני+מעשי"ם</t>
  </si>
  <si>
    <t>1345004930+1345201930</t>
  </si>
  <si>
    <t>מ.יום טיפולי - מש-ה</t>
  </si>
  <si>
    <t>שרותים תומכים למפגר</t>
  </si>
  <si>
    <t>1344008930+1345005930</t>
  </si>
  <si>
    <t>הסעות למ.יום-מש-ה</t>
  </si>
  <si>
    <t>שיקום נכים בקהילה</t>
  </si>
  <si>
    <t>הסעות וליווי מ.יום למפגר</t>
  </si>
  <si>
    <t>סידור במעונות - מש-ה</t>
  </si>
  <si>
    <t xml:space="preserve">אחזקת נכים בפנימיות </t>
  </si>
  <si>
    <t>חדש להוסיף</t>
  </si>
  <si>
    <t xml:space="preserve">סה"כ </t>
  </si>
  <si>
    <t>מ.יום שיקומי לנכים</t>
  </si>
  <si>
    <t>מ.יום שיקומי לאוטיסט</t>
  </si>
  <si>
    <t>הדרכת עוור ובני ביתו</t>
  </si>
  <si>
    <t>מפעלי תעסוקה</t>
  </si>
  <si>
    <t>דמי תקשורת חרשים</t>
  </si>
  <si>
    <t>מפעלי שיקום</t>
  </si>
  <si>
    <t>מעדוניות משותפות</t>
  </si>
  <si>
    <t>טיפול בפגיעות מיניות</t>
  </si>
  <si>
    <t xml:space="preserve">נפגעות תקיפה מינית </t>
  </si>
  <si>
    <t>מעלים לנוער</t>
  </si>
  <si>
    <t>מלב"ם ויזמות ברווחה</t>
  </si>
  <si>
    <t>רשות מלחמה בסמים</t>
  </si>
  <si>
    <t>התמכרויות - מבוגרים</t>
  </si>
  <si>
    <t>שירותים אחרים רווחה</t>
  </si>
  <si>
    <t>סה"כ רווחה</t>
  </si>
  <si>
    <t>מים</t>
  </si>
  <si>
    <t>אגרת מים-צריכה</t>
  </si>
  <si>
    <t>צריכת מים פיגורים</t>
  </si>
  <si>
    <t>מים פיגורים 2008</t>
  </si>
  <si>
    <t>מים פיגורים 2009</t>
  </si>
  <si>
    <t>מים פיגורים 2010</t>
  </si>
  <si>
    <t>מים פיגורים 2011</t>
  </si>
  <si>
    <t>מים פיגורים 2012</t>
  </si>
  <si>
    <t>מים פיגורים 2013</t>
  </si>
  <si>
    <t>מים פיגורים 2014</t>
  </si>
  <si>
    <t>מים פיגורים 2015</t>
  </si>
  <si>
    <t>מים פיגורים 2016</t>
  </si>
  <si>
    <t>היטל צריכה</t>
  </si>
  <si>
    <t>החזר מים מקורות</t>
  </si>
  <si>
    <t>מוני מים</t>
  </si>
  <si>
    <t>מדי מים גבעה</t>
  </si>
  <si>
    <t>סה"כ מים</t>
  </si>
  <si>
    <t>תקבולים אחרים וחד פעמיים</t>
  </si>
  <si>
    <t>החזר הוצ" שנים קודמות</t>
  </si>
  <si>
    <t>הכנסות בלתי רגלים</t>
  </si>
  <si>
    <t>מענק לכיסוי גרעון</t>
  </si>
  <si>
    <t>סה"כ תקבולים</t>
  </si>
  <si>
    <t xml:space="preserve">משרות </t>
  </si>
  <si>
    <t>משרות+עובדים שעתיים</t>
  </si>
  <si>
    <t>הנהלה וכלליות</t>
  </si>
  <si>
    <t>מש.נבחרים</t>
  </si>
  <si>
    <t>פנסיה נבחרים</t>
  </si>
  <si>
    <t>עבר לסעיף 1999900310 מחלקה 999900</t>
  </si>
  <si>
    <t>משכורת</t>
  </si>
  <si>
    <t>ביטוחים</t>
  </si>
  <si>
    <t>כיבודים ואירוח</t>
  </si>
  <si>
    <t>החזר מתנות</t>
  </si>
  <si>
    <t>השתלמויות</t>
  </si>
  <si>
    <t>אבטחת יו"ר מאויים6</t>
  </si>
  <si>
    <t>רכב</t>
  </si>
  <si>
    <t>טלפונים הוצ</t>
  </si>
  <si>
    <t>מחשוב לשכת ראש מועצה</t>
  </si>
  <si>
    <t>ועד ארצי לראשי רשיות</t>
  </si>
  <si>
    <t>השתתפות בתב"ר</t>
  </si>
  <si>
    <t>מנהלת לשכה</t>
  </si>
  <si>
    <t>לעדכן</t>
  </si>
  <si>
    <t>נהג ליו"ר ופקיד שליחיות</t>
  </si>
  <si>
    <t>משכורת שרתים מועצה</t>
  </si>
  <si>
    <t>מועצה והנהלה</t>
  </si>
  <si>
    <t>פנסיונרים</t>
  </si>
  <si>
    <t>השתלמות פנסיונרים</t>
  </si>
  <si>
    <t>מבקר פנים</t>
  </si>
  <si>
    <t>יועץ משפטי</t>
  </si>
  <si>
    <t>לסגור סעיף</t>
  </si>
  <si>
    <t>מבקר הרשות</t>
  </si>
  <si>
    <t>שכר מזכיר המועצה</t>
  </si>
  <si>
    <t>אחזקת בנינים</t>
  </si>
  <si>
    <t>חשמל למועצה</t>
  </si>
  <si>
    <t>מים למועצה</t>
  </si>
  <si>
    <t>חומרי ניקוי וציוד</t>
  </si>
  <si>
    <t>רהוט והחזקתו</t>
  </si>
  <si>
    <t>מכשירי כתיבה והדפס</t>
  </si>
  <si>
    <t>מכונות משרד והחזקת</t>
  </si>
  <si>
    <t>כיבודים למועצה</t>
  </si>
  <si>
    <t>ספרות מקצועית</t>
  </si>
  <si>
    <t>תקשורת</t>
  </si>
  <si>
    <t>פרסומים</t>
  </si>
  <si>
    <t>משרדיות</t>
  </si>
  <si>
    <t>מיכון ועיבוד נתונים</t>
  </si>
  <si>
    <t>עמותה לקידום מקצועי</t>
  </si>
  <si>
    <t>ציוד יסודי</t>
  </si>
  <si>
    <t>הוצ משכורת מזכירות מועצה</t>
  </si>
  <si>
    <t>עובדת נפטרה האם יהיה עובד חדש?</t>
  </si>
  <si>
    <t>מזכירות</t>
  </si>
  <si>
    <t>הוצאות משפטיות</t>
  </si>
  <si>
    <t>יעוץ משפטי</t>
  </si>
  <si>
    <t>משפטיות</t>
  </si>
  <si>
    <t>שירות משפטי</t>
  </si>
  <si>
    <t>הוצ" בחירות ברשות</t>
  </si>
  <si>
    <t>סה"כ בחירות</t>
  </si>
  <si>
    <t>השתלמיות גזברות</t>
  </si>
  <si>
    <t>הוצ תקשורת</t>
  </si>
  <si>
    <t>עבודות קבלניות</t>
  </si>
  <si>
    <t>מ.מ/ עוזר לגזבר</t>
  </si>
  <si>
    <t>דמי  חבר במרכז השלטון</t>
  </si>
  <si>
    <t>דמי חבר במרכז השלטון</t>
  </si>
  <si>
    <t>משכורת קופאית</t>
  </si>
  <si>
    <t>אוטומאציה</t>
  </si>
  <si>
    <t>חשב שכר</t>
  </si>
  <si>
    <t>קניין מועצה</t>
  </si>
  <si>
    <t>לפי גזבר המועצה - מה אחוז המשרה</t>
  </si>
  <si>
    <t>גזברות</t>
  </si>
  <si>
    <t>חברת גביה עמלות גביה</t>
  </si>
  <si>
    <t>הוצ משכורת</t>
  </si>
  <si>
    <t>גביה</t>
  </si>
  <si>
    <t>עמלות</t>
  </si>
  <si>
    <t>ריבית</t>
  </si>
  <si>
    <t xml:space="preserve"> עמלות </t>
  </si>
  <si>
    <t>קרן</t>
  </si>
  <si>
    <t>רבית</t>
  </si>
  <si>
    <t>הצמדה</t>
  </si>
  <si>
    <t>פירעון מלוות אחרות</t>
  </si>
  <si>
    <t>סה"כ הנהלה וכלליות</t>
  </si>
  <si>
    <t>שירותים מקומיים</t>
  </si>
  <si>
    <t>הות" תקשורת</t>
  </si>
  <si>
    <t>ימי רענון והשלמויות תברואה</t>
  </si>
  <si>
    <t>עבודות קבלניות-פינוי אשפה</t>
  </si>
  <si>
    <t>פחי אשפה</t>
  </si>
  <si>
    <t>משכורות כוללות</t>
  </si>
  <si>
    <t>איגוד ערים-איכות הסביבה</t>
  </si>
  <si>
    <t>א ע שמרון מטבחיים השת</t>
  </si>
  <si>
    <t>חומרי הדברה</t>
  </si>
  <si>
    <t>כבוי חדרה</t>
  </si>
  <si>
    <t>תברואה</t>
  </si>
  <si>
    <t>שמירה בטחונית ציוד</t>
  </si>
  <si>
    <t>הג"א השתתפיות ותרומות</t>
  </si>
  <si>
    <t>שמירה ובטחון</t>
  </si>
  <si>
    <t>משכורת מהנדס המועצה</t>
  </si>
  <si>
    <t>הוצ" תקשורת</t>
  </si>
  <si>
    <t>עבודות קבלניות _תכנו</t>
  </si>
  <si>
    <t>מזכירות מחלקת הנדסה</t>
  </si>
  <si>
    <t>פלפון מהנדס</t>
  </si>
  <si>
    <t>צילומים</t>
  </si>
  <si>
    <t>מדידות</t>
  </si>
  <si>
    <t>השתתפות בתכנון</t>
  </si>
  <si>
    <t>מחלקת הנדסה</t>
  </si>
  <si>
    <t>רשות הניקוז השתתפות</t>
  </si>
  <si>
    <t>אחזקת כבישים</t>
  </si>
  <si>
    <t>ציוד יסודי כבישים</t>
  </si>
  <si>
    <t>משכורת חשמלאי</t>
  </si>
  <si>
    <t>חשמל רחובות</t>
  </si>
  <si>
    <t>עבודות קבלניות- חשמל</t>
  </si>
  <si>
    <t>גינון</t>
  </si>
  <si>
    <t>הוצ מים לגינון</t>
  </si>
  <si>
    <t>ציוד</t>
  </si>
  <si>
    <t>דרכים ומדרכות</t>
  </si>
  <si>
    <t>מנהל מדור חרום</t>
  </si>
  <si>
    <t>מדור חירום</t>
  </si>
  <si>
    <t>חשמל מחסן מל"ח</t>
  </si>
  <si>
    <t>השתלמותוהצ" קבטי"ם</t>
  </si>
  <si>
    <t xml:space="preserve">שירותים מקומיים שונים </t>
  </si>
  <si>
    <t>סה"כ שירותים מקומיים</t>
  </si>
  <si>
    <t>משכורת ושכ"ע</t>
  </si>
  <si>
    <t>מחלקת חינוך הנהלה</t>
  </si>
  <si>
    <t>הפעלת תוכנית קיץ במוסדות חנוך</t>
  </si>
  <si>
    <t>מינהל חינוך</t>
  </si>
  <si>
    <t>צילומים והדפסות גנים</t>
  </si>
  <si>
    <t>שכר דירה  גנים</t>
  </si>
  <si>
    <t>חשמל גנים</t>
  </si>
  <si>
    <t>הוצ" ריהוט</t>
  </si>
  <si>
    <t>קייטנת קיץ2017</t>
  </si>
  <si>
    <t>חומרים_-גנים</t>
  </si>
  <si>
    <t>משחקים וציוד</t>
  </si>
  <si>
    <t>עב" קבלניות+חומרים גנים</t>
  </si>
  <si>
    <t>סעיף חדש</t>
  </si>
  <si>
    <t>ניצנים</t>
  </si>
  <si>
    <t>סעיף חדש - מה אחוז המשרה?</t>
  </si>
  <si>
    <t xml:space="preserve">מים גנים </t>
  </si>
  <si>
    <t>חינוך קדם יסודי</t>
  </si>
  <si>
    <t>משכורת ושכ"ע שרתים</t>
  </si>
  <si>
    <t>אחזקת מבני בי"ס</t>
  </si>
  <si>
    <t>חשמל</t>
  </si>
  <si>
    <t>חומרי ניקיון</t>
  </si>
  <si>
    <t>ריהוט ואחזקתו</t>
  </si>
  <si>
    <t>ציוד משרדי ומחשבים</t>
  </si>
  <si>
    <t>טלפון</t>
  </si>
  <si>
    <t>צילומים והדפסות</t>
  </si>
  <si>
    <t>חומרים- מעבדות בי"ס</t>
  </si>
  <si>
    <t>מזכירים חינוך</t>
  </si>
  <si>
    <t>מחשבים לב"ס</t>
  </si>
  <si>
    <t>ערכאות והדרכות לתלמידים</t>
  </si>
  <si>
    <t>שיפוצים ביתי ספר</t>
  </si>
  <si>
    <t>אחזקה ותקונים ביתי"ס</t>
  </si>
  <si>
    <t>ניהול עצמי אלשאפיעי</t>
  </si>
  <si>
    <t>ניהול עצמי אלפארוק</t>
  </si>
  <si>
    <t>ניהול עצמי אל- סדיק</t>
  </si>
  <si>
    <t>חינוך יסודי</t>
  </si>
  <si>
    <t>סייעות</t>
  </si>
  <si>
    <t>להעביר באופן יחסי לסעיפים לעיל (לאפס סעיף זה)</t>
  </si>
  <si>
    <t>חינוך מיוחד</t>
  </si>
  <si>
    <t>אגרת תלמיד חוץ</t>
  </si>
  <si>
    <t>אשתקד חד פעמי</t>
  </si>
  <si>
    <t>בתי"ס חט"בים</t>
  </si>
  <si>
    <t>קייטנה זמניים</t>
  </si>
  <si>
    <t>קיטנות</t>
  </si>
  <si>
    <t>משכורת בי"ס על יסודיים</t>
  </si>
  <si>
    <t>הוצ" פיצויים</t>
  </si>
  <si>
    <t>אחזקת מבנים</t>
  </si>
  <si>
    <t>פינות פרטניות עוז לתמורה</t>
  </si>
  <si>
    <t>חומרי נקיון</t>
  </si>
  <si>
    <t>ציוד משרדי</t>
  </si>
  <si>
    <t>דמי שתיה ועד עובדים</t>
  </si>
  <si>
    <t>אומניות העיצוב</t>
  </si>
  <si>
    <t>פרוייקט תעשיה ומדע</t>
  </si>
  <si>
    <t>פרוייקטים קהילתיים</t>
  </si>
  <si>
    <t>מעבדות טכנולגיות</t>
  </si>
  <si>
    <t>מעבדת מכטרוניקה</t>
  </si>
  <si>
    <t>שפוצים בי"ס ובטיחות</t>
  </si>
  <si>
    <t>הסעות ושונות</t>
  </si>
  <si>
    <t>תוכנית הדו"מ -הדרכת הורים</t>
  </si>
  <si>
    <t>הרצאות ופעולות תרבות</t>
  </si>
  <si>
    <t>מניעת שימוש בסמים</t>
  </si>
  <si>
    <t>קשרים בינלאומיים</t>
  </si>
  <si>
    <t>מחשב לכל ילד</t>
  </si>
  <si>
    <t>מעבדה</t>
  </si>
  <si>
    <t>ציוד חדר טכנולוגיה</t>
  </si>
  <si>
    <t>הוצאות תחזוקה והפעלה של מעבדות</t>
  </si>
  <si>
    <t>הוצאות פעולות תרבות וחברה תיכו</t>
  </si>
  <si>
    <t>חשמל מקיף גבעה</t>
  </si>
  <si>
    <t>משכורת מקיף פרדיס</t>
  </si>
  <si>
    <t>ע"ח מבטחים</t>
  </si>
  <si>
    <t>ציל"ה</t>
  </si>
  <si>
    <t>לבדוק שמדובר בקייטנת קיץ ( דרך משכל )</t>
  </si>
  <si>
    <t>משכורת תיכון גבעה חדש</t>
  </si>
  <si>
    <t>בתי"ס על יסודיים</t>
  </si>
  <si>
    <t>ריהוט וציוד לחינוך מיוחד</t>
  </si>
  <si>
    <t>ציוד משרדי ומשחקים</t>
  </si>
  <si>
    <t>שמירה ובטחון מוסדות חינוך</t>
  </si>
  <si>
    <t>לבדוק איפה ואיך נרשמה ההכנסה מהמשטרה</t>
  </si>
  <si>
    <t>שירות חינוך אחר</t>
  </si>
  <si>
    <t>משכורות</t>
  </si>
  <si>
    <t>שכ"ד פסיכולוגי</t>
  </si>
  <si>
    <t>טלפון פסיכולוגים</t>
  </si>
  <si>
    <t>שירות פסעכולוגי</t>
  </si>
  <si>
    <t>שרות פסיכולוגי השת</t>
  </si>
  <si>
    <t>משכורת    כוללת</t>
  </si>
  <si>
    <t>פר"ח</t>
  </si>
  <si>
    <t>מנ"ע -  מניעת נשירה מבי"ס</t>
  </si>
  <si>
    <t>מילוי מקום מוסדות</t>
  </si>
  <si>
    <t>הסעות-חיונוך מיוחד</t>
  </si>
  <si>
    <t>???..</t>
  </si>
  <si>
    <t>שמירה למוסדות חינוך</t>
  </si>
  <si>
    <t>שירות בריאותי</t>
  </si>
  <si>
    <t>אספקת עובדים למוסדות</t>
  </si>
  <si>
    <t>מלגות סטודינטים</t>
  </si>
  <si>
    <t>שירותים נוספים</t>
  </si>
  <si>
    <t>110</t>
  </si>
  <si>
    <t>מזון</t>
  </si>
  <si>
    <t>קייטנות</t>
  </si>
  <si>
    <t>מותנות</t>
  </si>
  <si>
    <t>אחזקת שוטפת</t>
  </si>
  <si>
    <t>מעדניות</t>
  </si>
  <si>
    <t>חשמל ספריה צבורית</t>
  </si>
  <si>
    <t>ספריה ציבורית אחזקה</t>
  </si>
  <si>
    <t>ספריה צבורית ציוד יסודי</t>
  </si>
  <si>
    <t>שונות</t>
  </si>
  <si>
    <t>טיפול בנוער בסיכון</t>
  </si>
  <si>
    <t>פעולות נוער בסיכון</t>
  </si>
  <si>
    <t>משכורת יחדת קידום נוער</t>
  </si>
  <si>
    <t>מוקדי הפעלת בית נוער</t>
  </si>
  <si>
    <t>שכר מנהל תכנית עיר ללא אלימות</t>
  </si>
  <si>
    <t>תוכנית עיר ללא אלימות</t>
  </si>
  <si>
    <t>פרוייקט מעשים טובים</t>
  </si>
  <si>
    <t>חינוך בלתי פורמאלי</t>
  </si>
  <si>
    <t>אתגרים פעילויות</t>
  </si>
  <si>
    <t>מלגות לסטודנטים</t>
  </si>
  <si>
    <t>תרבות</t>
  </si>
  <si>
    <t>הוצ" מים מגרש</t>
  </si>
  <si>
    <t>אביזרי עזר למגרש</t>
  </si>
  <si>
    <t>מתקני ספורט ומגרש</t>
  </si>
  <si>
    <t>הסעות ספורט</t>
  </si>
  <si>
    <t>תמיכות באגודות ספורט</t>
  </si>
  <si>
    <t>אולם ספואט השת" לתב"ר</t>
  </si>
  <si>
    <t>ציודומתקנים ספורט</t>
  </si>
  <si>
    <t>אחזקת מתקני ספורט</t>
  </si>
  <si>
    <t>חשמל אולם ספורט</t>
  </si>
  <si>
    <t>השתלמות מנהלי ספורט</t>
  </si>
  <si>
    <t>ציוד למגרש</t>
  </si>
  <si>
    <t>פעולות     ספורט</t>
  </si>
  <si>
    <t>ספורט</t>
  </si>
  <si>
    <t>משכורות ט.חלב</t>
  </si>
  <si>
    <t>מרפאת שיניים</t>
  </si>
  <si>
    <t>חשמל אם וילד</t>
  </si>
  <si>
    <t xml:space="preserve">טלפון </t>
  </si>
  <si>
    <t>טיפת חלב</t>
  </si>
  <si>
    <t>מים טיפת חלב</t>
  </si>
  <si>
    <t>תכנון מרכז _ת.בריאות ומשפ</t>
  </si>
  <si>
    <t>נט"ן השתתפות</t>
  </si>
  <si>
    <t>אחזקת מבני רווחה</t>
  </si>
  <si>
    <t>פעיליות בית זקנים</t>
  </si>
  <si>
    <t>השתלמיות</t>
  </si>
  <si>
    <t>משרדיות רווחה</t>
  </si>
  <si>
    <t>שיפוצים משרדי רווחה</t>
  </si>
  <si>
    <t>מרכז עוצמה -יעוץ לעובדי רווחה</t>
  </si>
  <si>
    <t>סדנאות לנוער וצעירים ברווחה</t>
  </si>
  <si>
    <t>הו"ארגוניות</t>
  </si>
  <si>
    <t>הסעות רווחה</t>
  </si>
  <si>
    <t>משכורות רווחה</t>
  </si>
  <si>
    <t>טלפון לשכת רווחה</t>
  </si>
  <si>
    <t>משפחות במצוקה קהילתית</t>
  </si>
  <si>
    <t>קייטנת אמהות</t>
  </si>
  <si>
    <t>מרכזי טיפול באלימות</t>
  </si>
  <si>
    <t>מכון וינגנט</t>
  </si>
  <si>
    <t>שכר דירה משרד רווח</t>
  </si>
  <si>
    <t>ילדים במעון יום</t>
  </si>
  <si>
    <t>אומנה יומית</t>
  </si>
  <si>
    <t>משכורת כוללת</t>
  </si>
  <si>
    <t>חשמל בית הקשיש</t>
  </si>
  <si>
    <t>הוצ" שונות בית זקנים</t>
  </si>
  <si>
    <t>טיפול בזקן בקהילה</t>
  </si>
  <si>
    <t>טיפול בזקן</t>
  </si>
  <si>
    <t>מפגרים במעון טיפולי</t>
  </si>
  <si>
    <t>הסעות למעון יום טיפולי</t>
  </si>
  <si>
    <t>מעשי"ם</t>
  </si>
  <si>
    <t>מפגרים במעון אמוני</t>
  </si>
  <si>
    <t>טיפול במפגרים</t>
  </si>
  <si>
    <t>דמי ליווי לעוור</t>
  </si>
  <si>
    <t>דמי תקשורת לחרשים</t>
  </si>
  <si>
    <t>כ"א בחינוך מיוחד</t>
  </si>
  <si>
    <t>מלחמה בסמים</t>
  </si>
  <si>
    <t>מעדונית משפחתית</t>
  </si>
  <si>
    <t>מעדוניות משוטפות</t>
  </si>
  <si>
    <t>מרכזי אבחון ושיקום</t>
  </si>
  <si>
    <t>שיקום הפרט</t>
  </si>
  <si>
    <t>דת</t>
  </si>
  <si>
    <t>חשמל מסגדים</t>
  </si>
  <si>
    <t>מים מסגדים ובתי קברות</t>
  </si>
  <si>
    <t>עבודות קבלניות-מסגדים</t>
  </si>
  <si>
    <t>תמכיה במסגדים</t>
  </si>
  <si>
    <t>תמיכה באימאם</t>
  </si>
  <si>
    <t>סה"כ דת</t>
  </si>
  <si>
    <t>תשלומים אחרים וחד פעמיים</t>
  </si>
  <si>
    <t>משכורות   כלליות</t>
  </si>
  <si>
    <t>תקונים וח-ח רכב</t>
  </si>
  <si>
    <t>קנית ממים ממקורות</t>
  </si>
  <si>
    <t>חשמל מ.מים</t>
  </si>
  <si>
    <t>קרן שיקום צנרת</t>
  </si>
  <si>
    <t>דלק</t>
  </si>
  <si>
    <t>אחזקת מערכת מים</t>
  </si>
  <si>
    <t>רכישת ציוד יסודי</t>
  </si>
  <si>
    <t>הוצ עודפת</t>
  </si>
  <si>
    <t>הוצ" משכורת / תיעול ויקוז</t>
  </si>
  <si>
    <t>חשמל מכון שאיבה</t>
  </si>
  <si>
    <t>קרן ביוב</t>
  </si>
  <si>
    <t>ריבית ביוב</t>
  </si>
  <si>
    <t>הצמדה ביוב</t>
  </si>
  <si>
    <t>אחזקת מכון שאיבה</t>
  </si>
  <si>
    <t>מט"ש מעיין צבי אחזקה</t>
  </si>
  <si>
    <t>ציוד יסודי-מערכת ביוב</t>
  </si>
  <si>
    <t>תיקונים קווי ביוב פנימיים וחיב</t>
  </si>
  <si>
    <t>הוצאות חד פעמיות</t>
  </si>
  <si>
    <t>הוצ" ח"פ והעברות לתבר"ם</t>
  </si>
  <si>
    <t>הוצ" מותנות</t>
  </si>
  <si>
    <t>הנחות ממסים לפי חוק</t>
  </si>
  <si>
    <t>תוספות אחרות</t>
  </si>
  <si>
    <t>סעיף חדש פנסיונרים</t>
  </si>
  <si>
    <t>סה"כ תשלומים אחרים וחד פעמיים</t>
  </si>
  <si>
    <t>סה"כ תשלומים</t>
  </si>
  <si>
    <t>עודף / גירעון</t>
  </si>
  <si>
    <t>לעומת</t>
  </si>
  <si>
    <t>שכר</t>
  </si>
  <si>
    <t>סה"כ שכר</t>
  </si>
  <si>
    <t>אגרות</t>
  </si>
  <si>
    <t>סה"כ מענקים ומיסים</t>
  </si>
  <si>
    <t>יתרות ביוב 2006</t>
  </si>
  <si>
    <t>השת" נסיעות אלפרוק</t>
  </si>
  <si>
    <t>גני ילדים</t>
  </si>
  <si>
    <t>בתי"ס חטב"ים</t>
  </si>
  <si>
    <t>סה"כ שירות פסיכולוגי</t>
  </si>
  <si>
    <t>הוצ נלוות ח.מיוחד</t>
  </si>
  <si>
    <t>ביוב</t>
  </si>
  <si>
    <t>יתרות ביוב</t>
  </si>
  <si>
    <t>סה"כ ביוב</t>
  </si>
  <si>
    <t>משרות</t>
  </si>
  <si>
    <t>יועץ לראש המועצה</t>
  </si>
  <si>
    <t>למיין</t>
  </si>
  <si>
    <t>הוצ" בחירות ברישות</t>
  </si>
  <si>
    <t>גנון</t>
  </si>
  <si>
    <t>מטרות  ציל"ה</t>
  </si>
  <si>
    <t>שירות חינוך מיוחד</t>
  </si>
  <si>
    <t>טלפון לתחנת ב.השן</t>
  </si>
  <si>
    <t>מים מסגדים וקברותץ</t>
  </si>
  <si>
    <t>אגרות ביוב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</si>
</sst>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7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b/>
      <sz val="11"/>
      <name val="David"/>
      <family val="2"/>
    </font>
    <font>
      <b/>
      <sz val="11"/>
      <name val="David"/>
      <family val="2"/>
      <charset val="177"/>
    </font>
    <font>
      <sz val="10"/>
      <name val="Arial"/>
      <family val="2"/>
    </font>
    <font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rgb="FFFF0000"/>
      <name val="David"/>
      <family val="2"/>
    </font>
    <font>
      <b/>
      <sz val="11"/>
      <color rgb="FFFF0000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Arial"/>
      <family val="2"/>
      <scheme val="minor"/>
    </font>
    <font>
      <b/>
      <sz val="12"/>
      <color theme="1"/>
      <name val="David"/>
      <family val="2"/>
      <charset val="177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3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229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Alignment="1">
      <alignment horizontal="right"/>
    </xf>
    <xf numFmtId="0" fontId="3" fillId="4" borderId="0" xfId="0" applyFont="1" applyFill="1" applyAlignment="1">
      <alignment wrapText="1"/>
    </xf>
    <xf numFmtId="0" fontId="4" fillId="4" borderId="5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3" fillId="4" borderId="0" xfId="0" applyFont="1" applyFill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8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4" fillId="0" borderId="10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/>
    <xf numFmtId="0" fontId="3" fillId="0" borderId="6" xfId="0" applyFont="1" applyBorder="1"/>
    <xf numFmtId="164" fontId="3" fillId="0" borderId="6" xfId="1" applyNumberFormat="1" applyFont="1" applyBorder="1"/>
    <xf numFmtId="164" fontId="3" fillId="0" borderId="7" xfId="1" applyNumberFormat="1" applyFont="1" applyBorder="1"/>
    <xf numFmtId="164" fontId="3" fillId="0" borderId="0" xfId="0" applyNumberFormat="1" applyFont="1"/>
    <xf numFmtId="164" fontId="3" fillId="0" borderId="0" xfId="1" applyNumberFormat="1" applyFont="1"/>
    <xf numFmtId="0" fontId="3" fillId="0" borderId="5" xfId="0" applyFont="1" applyFill="1" applyBorder="1"/>
    <xf numFmtId="0" fontId="3" fillId="0" borderId="6" xfId="0" applyFont="1" applyFill="1" applyBorder="1"/>
    <xf numFmtId="164" fontId="3" fillId="0" borderId="6" xfId="1" applyNumberFormat="1" applyFont="1" applyFill="1" applyBorder="1"/>
    <xf numFmtId="164" fontId="3" fillId="0" borderId="7" xfId="1" applyNumberFormat="1" applyFont="1" applyFill="1" applyBorder="1"/>
    <xf numFmtId="0" fontId="5" fillId="5" borderId="5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164" fontId="5" fillId="5" borderId="6" xfId="1" applyNumberFormat="1" applyFont="1" applyFill="1" applyBorder="1"/>
    <xf numFmtId="164" fontId="5" fillId="5" borderId="7" xfId="1" applyNumberFormat="1" applyFont="1" applyFill="1" applyBorder="1"/>
    <xf numFmtId="0" fontId="5" fillId="6" borderId="5" xfId="0" applyFont="1" applyFill="1" applyBorder="1" applyAlignment="1">
      <alignment horizontal="right"/>
    </xf>
    <xf numFmtId="0" fontId="5" fillId="6" borderId="6" xfId="0" applyFont="1" applyFill="1" applyBorder="1" applyAlignment="1">
      <alignment horizontal="right"/>
    </xf>
    <xf numFmtId="164" fontId="5" fillId="6" borderId="6" xfId="1" applyNumberFormat="1" applyFont="1" applyFill="1" applyBorder="1"/>
    <xf numFmtId="164" fontId="5" fillId="6" borderId="7" xfId="1" applyNumberFormat="1" applyFont="1" applyFill="1" applyBorder="1"/>
    <xf numFmtId="0" fontId="6" fillId="0" borderId="8" xfId="0" applyFont="1" applyFill="1" applyBorder="1" applyAlignment="1"/>
    <xf numFmtId="0" fontId="6" fillId="0" borderId="9" xfId="0" applyFont="1" applyFill="1" applyBorder="1" applyAlignment="1"/>
    <xf numFmtId="0" fontId="6" fillId="0" borderId="10" xfId="0" applyFont="1" applyFill="1" applyBorder="1" applyAlignment="1"/>
    <xf numFmtId="0" fontId="3" fillId="0" borderId="0" xfId="0" applyFont="1" applyFill="1"/>
    <xf numFmtId="0" fontId="3" fillId="0" borderId="0" xfId="0" applyFont="1" applyFill="1" applyAlignment="1">
      <alignment wrapText="1"/>
    </xf>
    <xf numFmtId="164" fontId="3" fillId="0" borderId="0" xfId="0" applyNumberFormat="1" applyFont="1" applyFill="1"/>
    <xf numFmtId="164" fontId="3" fillId="0" borderId="0" xfId="1" applyNumberFormat="1" applyFont="1" applyFill="1"/>
    <xf numFmtId="0" fontId="3" fillId="0" borderId="0" xfId="0" applyFont="1" applyFill="1" applyAlignment="1">
      <alignment horizontal="right"/>
    </xf>
    <xf numFmtId="164" fontId="3" fillId="0" borderId="0" xfId="1" applyNumberFormat="1" applyFont="1" applyFill="1" applyBorder="1"/>
    <xf numFmtId="0" fontId="3" fillId="0" borderId="6" xfId="0" applyFont="1" applyFill="1" applyBorder="1" applyAlignment="1">
      <alignment horizontal="right"/>
    </xf>
    <xf numFmtId="0" fontId="3" fillId="7" borderId="0" xfId="0" applyFont="1" applyFill="1" applyAlignment="1">
      <alignment wrapText="1"/>
    </xf>
    <xf numFmtId="0" fontId="3" fillId="7" borderId="0" xfId="0" applyFont="1" applyFill="1"/>
    <xf numFmtId="164" fontId="3" fillId="7" borderId="0" xfId="1" applyNumberFormat="1" applyFont="1" applyFill="1"/>
    <xf numFmtId="43" fontId="3" fillId="0" borderId="0" xfId="1" applyFont="1" applyFill="1"/>
    <xf numFmtId="0" fontId="5" fillId="0" borderId="0" xfId="0" applyFont="1" applyFill="1" applyAlignment="1">
      <alignment horizontal="right"/>
    </xf>
    <xf numFmtId="0" fontId="3" fillId="7" borderId="0" xfId="0" applyFont="1" applyFill="1" applyBorder="1" applyAlignment="1">
      <alignment wrapText="1"/>
    </xf>
    <xf numFmtId="0" fontId="3" fillId="7" borderId="0" xfId="0" applyFont="1" applyFill="1" applyBorder="1"/>
    <xf numFmtId="164" fontId="3" fillId="7" borderId="0" xfId="1" applyNumberFormat="1" applyFont="1" applyFill="1" applyBorder="1"/>
    <xf numFmtId="164" fontId="3" fillId="0" borderId="12" xfId="1" applyNumberFormat="1" applyFont="1" applyFill="1" applyBorder="1"/>
    <xf numFmtId="0" fontId="3" fillId="0" borderId="13" xfId="0" applyFont="1" applyFill="1" applyBorder="1" applyAlignment="1">
      <alignment horizontal="right"/>
    </xf>
    <xf numFmtId="0" fontId="3" fillId="7" borderId="10" xfId="0" applyFont="1" applyFill="1" applyBorder="1" applyAlignment="1">
      <alignment wrapText="1"/>
    </xf>
    <xf numFmtId="0" fontId="3" fillId="7" borderId="6" xfId="0" applyFont="1" applyFill="1" applyBorder="1"/>
    <xf numFmtId="164" fontId="3" fillId="7" borderId="6" xfId="1" applyNumberFormat="1" applyFont="1" applyFill="1" applyBorder="1"/>
    <xf numFmtId="0" fontId="3" fillId="0" borderId="0" xfId="0" applyFont="1" applyFill="1" applyBorder="1" applyAlignment="1">
      <alignment horizontal="right"/>
    </xf>
    <xf numFmtId="0" fontId="3" fillId="0" borderId="9" xfId="0" applyFont="1" applyFill="1" applyBorder="1"/>
    <xf numFmtId="0" fontId="3" fillId="6" borderId="0" xfId="0" applyFont="1" applyFill="1" applyAlignment="1">
      <alignment wrapText="1"/>
    </xf>
    <xf numFmtId="164" fontId="3" fillId="6" borderId="0" xfId="0" applyNumberFormat="1" applyFont="1" applyFill="1"/>
    <xf numFmtId="164" fontId="3" fillId="6" borderId="0" xfId="1" applyNumberFormat="1" applyFont="1" applyFill="1"/>
    <xf numFmtId="0" fontId="3" fillId="0" borderId="13" xfId="0" applyFont="1" applyFill="1" applyBorder="1"/>
    <xf numFmtId="164" fontId="3" fillId="0" borderId="13" xfId="1" applyNumberFormat="1" applyFont="1" applyFill="1" applyBorder="1"/>
    <xf numFmtId="0" fontId="3" fillId="0" borderId="8" xfId="0" applyFont="1" applyFill="1" applyBorder="1"/>
    <xf numFmtId="164" fontId="3" fillId="0" borderId="9" xfId="1" applyNumberFormat="1" applyFont="1" applyFill="1" applyBorder="1"/>
    <xf numFmtId="164" fontId="3" fillId="0" borderId="10" xfId="1" applyNumberFormat="1" applyFont="1" applyFill="1" applyBorder="1"/>
    <xf numFmtId="164" fontId="3" fillId="0" borderId="0" xfId="1" applyNumberFormat="1" applyFont="1" applyBorder="1"/>
    <xf numFmtId="0" fontId="3" fillId="0" borderId="8" xfId="0" applyFont="1" applyBorder="1"/>
    <xf numFmtId="164" fontId="5" fillId="5" borderId="0" xfId="1" applyNumberFormat="1" applyFont="1" applyFill="1" applyBorder="1"/>
    <xf numFmtId="164" fontId="5" fillId="5" borderId="10" xfId="1" applyNumberFormat="1" applyFont="1" applyFill="1" applyBorder="1"/>
    <xf numFmtId="0" fontId="6" fillId="8" borderId="14" xfId="0" applyFont="1" applyFill="1" applyBorder="1" applyAlignment="1"/>
    <xf numFmtId="0" fontId="6" fillId="8" borderId="15" xfId="0" applyFont="1" applyFill="1" applyBorder="1" applyAlignment="1"/>
    <xf numFmtId="0" fontId="6" fillId="8" borderId="16" xfId="0" applyFont="1" applyFill="1" applyBorder="1" applyAlignment="1">
      <alignment horizontal="center"/>
    </xf>
    <xf numFmtId="164" fontId="6" fillId="8" borderId="17" xfId="1" applyNumberFormat="1" applyFont="1" applyFill="1" applyBorder="1"/>
    <xf numFmtId="164" fontId="6" fillId="8" borderId="18" xfId="1" applyNumberFormat="1" applyFont="1" applyFill="1" applyBorder="1"/>
    <xf numFmtId="164" fontId="6" fillId="8" borderId="19" xfId="1" applyNumberFormat="1" applyFont="1" applyFill="1" applyBorder="1"/>
    <xf numFmtId="164" fontId="6" fillId="8" borderId="13" xfId="1" applyNumberFormat="1" applyFont="1" applyFill="1" applyBorder="1"/>
    <xf numFmtId="0" fontId="0" fillId="0" borderId="2" xfId="0" applyBorder="1"/>
    <xf numFmtId="0" fontId="0" fillId="0" borderId="3" xfId="0" applyBorder="1"/>
    <xf numFmtId="43" fontId="0" fillId="0" borderId="4" xfId="1" applyFont="1" applyBorder="1"/>
    <xf numFmtId="164" fontId="0" fillId="0" borderId="0" xfId="1" applyNumberFormat="1" applyFont="1"/>
    <xf numFmtId="0" fontId="4" fillId="4" borderId="20" xfId="0" applyFont="1" applyFill="1" applyBorder="1" applyAlignment="1">
      <alignment wrapText="1"/>
    </xf>
    <xf numFmtId="0" fontId="8" fillId="0" borderId="0" xfId="0" applyFont="1"/>
    <xf numFmtId="0" fontId="9" fillId="0" borderId="8" xfId="0" applyFont="1" applyFill="1" applyBorder="1" applyAlignment="1"/>
    <xf numFmtId="0" fontId="9" fillId="0" borderId="9" xfId="0" applyFont="1" applyFill="1" applyBorder="1" applyAlignment="1"/>
    <xf numFmtId="0" fontId="9" fillId="0" borderId="10" xfId="0" applyFont="1" applyFill="1" applyBorder="1" applyAlignment="1"/>
    <xf numFmtId="43" fontId="9" fillId="0" borderId="11" xfId="1" applyFont="1" applyFill="1" applyBorder="1" applyAlignment="1"/>
    <xf numFmtId="3" fontId="9" fillId="0" borderId="0" xfId="0" applyNumberFormat="1" applyFont="1" applyFill="1" applyBorder="1" applyAlignment="1"/>
    <xf numFmtId="3" fontId="8" fillId="0" borderId="0" xfId="0" applyNumberFormat="1" applyFont="1"/>
    <xf numFmtId="0" fontId="8" fillId="0" borderId="5" xfId="0" applyFont="1" applyBorder="1"/>
    <xf numFmtId="0" fontId="8" fillId="0" borderId="6" xfId="0" applyFont="1" applyBorder="1"/>
    <xf numFmtId="164" fontId="8" fillId="0" borderId="6" xfId="1" applyNumberFormat="1" applyFont="1" applyBorder="1"/>
    <xf numFmtId="164" fontId="8" fillId="0" borderId="21" xfId="1" applyNumberFormat="1" applyFont="1" applyBorder="1"/>
    <xf numFmtId="43" fontId="8" fillId="9" borderId="22" xfId="1" applyFont="1" applyFill="1" applyBorder="1"/>
    <xf numFmtId="3" fontId="8" fillId="0" borderId="0" xfId="1" applyNumberFormat="1" applyFont="1" applyBorder="1"/>
    <xf numFmtId="164" fontId="8" fillId="0" borderId="0" xfId="0" applyNumberFormat="1" applyFont="1"/>
    <xf numFmtId="0" fontId="8" fillId="0" borderId="0" xfId="0" applyFont="1" applyFill="1"/>
    <xf numFmtId="0" fontId="8" fillId="0" borderId="5" xfId="0" applyFont="1" applyFill="1" applyBorder="1"/>
    <xf numFmtId="0" fontId="8" fillId="0" borderId="21" xfId="0" applyFont="1" applyFill="1" applyBorder="1"/>
    <xf numFmtId="0" fontId="8" fillId="0" borderId="6" xfId="0" applyFont="1" applyFill="1" applyBorder="1"/>
    <xf numFmtId="164" fontId="8" fillId="0" borderId="21" xfId="1" applyNumberFormat="1" applyFont="1" applyFill="1" applyBorder="1"/>
    <xf numFmtId="43" fontId="8" fillId="0" borderId="22" xfId="1" applyFont="1" applyFill="1" applyBorder="1"/>
    <xf numFmtId="3" fontId="8" fillId="0" borderId="0" xfId="1" applyNumberFormat="1" applyFont="1" applyFill="1" applyBorder="1"/>
    <xf numFmtId="3" fontId="8" fillId="0" borderId="0" xfId="0" applyNumberFormat="1" applyFont="1" applyFill="1"/>
    <xf numFmtId="164" fontId="8" fillId="0" borderId="0" xfId="0" applyNumberFormat="1" applyFont="1" applyFill="1"/>
    <xf numFmtId="0" fontId="0" fillId="0" borderId="0" xfId="0" applyFill="1"/>
    <xf numFmtId="0" fontId="8" fillId="0" borderId="21" xfId="0" applyFont="1" applyBorder="1"/>
    <xf numFmtId="43" fontId="8" fillId="0" borderId="22" xfId="1" applyFont="1" applyBorder="1"/>
    <xf numFmtId="43" fontId="8" fillId="0" borderId="7" xfId="1" applyFont="1" applyBorder="1"/>
    <xf numFmtId="43" fontId="5" fillId="5" borderId="7" xfId="1" applyNumberFormat="1" applyFont="1" applyFill="1" applyBorder="1"/>
    <xf numFmtId="43" fontId="8" fillId="0" borderId="21" xfId="1" applyNumberFormat="1" applyFont="1" applyFill="1" applyBorder="1"/>
    <xf numFmtId="0" fontId="0" fillId="10" borderId="0" xfId="0" applyFill="1"/>
    <xf numFmtId="164" fontId="0" fillId="0" borderId="0" xfId="1" applyNumberFormat="1" applyFont="1" applyFill="1"/>
    <xf numFmtId="43" fontId="8" fillId="11" borderId="7" xfId="1" applyFont="1" applyFill="1" applyBorder="1"/>
    <xf numFmtId="0" fontId="3" fillId="0" borderId="21" xfId="0" applyFont="1" applyBorder="1"/>
    <xf numFmtId="164" fontId="10" fillId="0" borderId="21" xfId="1" applyNumberFormat="1" applyFont="1" applyBorder="1"/>
    <xf numFmtId="164" fontId="3" fillId="0" borderId="21" xfId="1" applyNumberFormat="1" applyFont="1" applyBorder="1"/>
    <xf numFmtId="43" fontId="3" fillId="10" borderId="22" xfId="1" applyNumberFormat="1" applyFont="1" applyFill="1" applyBorder="1"/>
    <xf numFmtId="0" fontId="11" fillId="6" borderId="5" xfId="0" applyFont="1" applyFill="1" applyBorder="1" applyAlignment="1">
      <alignment horizontal="right"/>
    </xf>
    <xf numFmtId="0" fontId="11" fillId="6" borderId="6" xfId="0" applyFont="1" applyFill="1" applyBorder="1" applyAlignment="1">
      <alignment horizontal="right"/>
    </xf>
    <xf numFmtId="43" fontId="5" fillId="6" borderId="7" xfId="1" applyNumberFormat="1" applyFont="1" applyFill="1" applyBorder="1"/>
    <xf numFmtId="164" fontId="8" fillId="0" borderId="23" xfId="1" applyNumberFormat="1" applyFont="1" applyBorder="1"/>
    <xf numFmtId="43" fontId="0" fillId="0" borderId="0" xfId="1" applyFont="1" applyFill="1"/>
    <xf numFmtId="164" fontId="8" fillId="10" borderId="21" xfId="1" applyNumberFormat="1" applyFont="1" applyFill="1" applyBorder="1"/>
    <xf numFmtId="0" fontId="3" fillId="0" borderId="21" xfId="0" applyFont="1" applyFill="1" applyBorder="1"/>
    <xf numFmtId="164" fontId="10" fillId="0" borderId="21" xfId="1" applyNumberFormat="1" applyFont="1" applyFill="1" applyBorder="1"/>
    <xf numFmtId="164" fontId="3" fillId="0" borderId="21" xfId="1" applyNumberFormat="1" applyFont="1" applyFill="1" applyBorder="1"/>
    <xf numFmtId="164" fontId="0" fillId="0" borderId="0" xfId="0" applyNumberFormat="1"/>
    <xf numFmtId="43" fontId="3" fillId="0" borderId="7" xfId="1" applyFont="1" applyBorder="1"/>
    <xf numFmtId="43" fontId="3" fillId="0" borderId="22" xfId="1" applyFont="1" applyBorder="1"/>
    <xf numFmtId="43" fontId="3" fillId="0" borderId="22" xfId="1" applyFont="1" applyFill="1" applyBorder="1"/>
    <xf numFmtId="43" fontId="3" fillId="9" borderId="22" xfId="1" applyFont="1" applyFill="1" applyBorder="1"/>
    <xf numFmtId="0" fontId="9" fillId="0" borderId="5" xfId="0" applyFont="1" applyFill="1" applyBorder="1" applyAlignment="1"/>
    <xf numFmtId="164" fontId="8" fillId="0" borderId="10" xfId="1" applyNumberFormat="1" applyFont="1" applyBorder="1"/>
    <xf numFmtId="43" fontId="8" fillId="0" borderId="21" xfId="1" applyNumberFormat="1" applyFont="1" applyBorder="1"/>
    <xf numFmtId="43" fontId="9" fillId="12" borderId="24" xfId="1" applyFont="1" applyFill="1" applyBorder="1"/>
    <xf numFmtId="43" fontId="9" fillId="12" borderId="25" xfId="1" applyFont="1" applyFill="1" applyBorder="1"/>
    <xf numFmtId="43" fontId="9" fillId="12" borderId="25" xfId="1" applyFont="1" applyFill="1" applyBorder="1" applyAlignment="1">
      <alignment horizontal="center"/>
    </xf>
    <xf numFmtId="164" fontId="9" fillId="12" borderId="25" xfId="1" applyNumberFormat="1" applyFont="1" applyFill="1" applyBorder="1"/>
    <xf numFmtId="164" fontId="9" fillId="12" borderId="26" xfId="1" applyNumberFormat="1" applyFont="1" applyFill="1" applyBorder="1"/>
    <xf numFmtId="3" fontId="9" fillId="12" borderId="0" xfId="1" applyNumberFormat="1" applyFont="1" applyFill="1" applyBorder="1"/>
    <xf numFmtId="3" fontId="12" fillId="0" borderId="0" xfId="0" applyNumberFormat="1" applyFont="1"/>
    <xf numFmtId="43" fontId="13" fillId="0" borderId="24" xfId="1" applyFont="1" applyFill="1" applyBorder="1"/>
    <xf numFmtId="43" fontId="13" fillId="0" borderId="25" xfId="1" applyFont="1" applyFill="1" applyBorder="1"/>
    <xf numFmtId="43" fontId="13" fillId="0" borderId="25" xfId="1" applyFont="1" applyFill="1" applyBorder="1" applyAlignment="1">
      <alignment horizontal="center" readingOrder="2"/>
    </xf>
    <xf numFmtId="164" fontId="13" fillId="0" borderId="25" xfId="1" applyNumberFormat="1" applyFont="1" applyFill="1" applyBorder="1"/>
    <xf numFmtId="164" fontId="2" fillId="3" borderId="25" xfId="2" applyNumberFormat="1" applyBorder="1"/>
    <xf numFmtId="43" fontId="2" fillId="3" borderId="26" xfId="2" applyNumberFormat="1" applyBorder="1"/>
    <xf numFmtId="3" fontId="13" fillId="0" borderId="0" xfId="1" applyNumberFormat="1" applyFont="1" applyFill="1" applyBorder="1"/>
    <xf numFmtId="3" fontId="13" fillId="0" borderId="0" xfId="0" applyNumberFormat="1" applyFont="1" applyFill="1"/>
    <xf numFmtId="0" fontId="14" fillId="0" borderId="0" xfId="0" applyFont="1" applyFill="1"/>
    <xf numFmtId="43" fontId="0" fillId="0" borderId="0" xfId="1" applyFont="1"/>
    <xf numFmtId="3" fontId="0" fillId="0" borderId="0" xfId="0" applyNumberFormat="1"/>
    <xf numFmtId="43" fontId="0" fillId="0" borderId="0" xfId="0" applyNumberFormat="1"/>
    <xf numFmtId="0" fontId="0" fillId="0" borderId="0" xfId="0" applyBorder="1" applyAlignment="1">
      <alignment horizontal="center"/>
    </xf>
    <xf numFmtId="0" fontId="0" fillId="0" borderId="6" xfId="0" applyBorder="1"/>
    <xf numFmtId="4" fontId="0" fillId="0" borderId="6" xfId="0" applyNumberFormat="1" applyBorder="1"/>
    <xf numFmtId="4" fontId="0" fillId="0" borderId="0" xfId="0" applyNumberFormat="1" applyBorder="1"/>
    <xf numFmtId="4" fontId="15" fillId="0" borderId="6" xfId="0" applyNumberFormat="1" applyFont="1" applyBorder="1"/>
    <xf numFmtId="4" fontId="15" fillId="0" borderId="0" xfId="0" applyNumberFormat="1" applyFont="1" applyBorder="1"/>
    <xf numFmtId="0" fontId="4" fillId="4" borderId="27" xfId="0" applyFont="1" applyFill="1" applyBorder="1" applyAlignment="1">
      <alignment horizontal="center" wrapText="1"/>
    </xf>
    <xf numFmtId="164" fontId="3" fillId="0" borderId="27" xfId="1" applyNumberFormat="1" applyFont="1" applyBorder="1"/>
    <xf numFmtId="164" fontId="5" fillId="5" borderId="27" xfId="1" applyNumberFormat="1" applyFont="1" applyFill="1" applyBorder="1"/>
    <xf numFmtId="0" fontId="4" fillId="4" borderId="0" xfId="0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8" borderId="27" xfId="0" applyFont="1" applyFill="1" applyBorder="1" applyAlignment="1"/>
    <xf numFmtId="0" fontId="3" fillId="8" borderId="9" xfId="0" applyFont="1" applyFill="1" applyBorder="1" applyAlignment="1"/>
    <xf numFmtId="0" fontId="3" fillId="8" borderId="10" xfId="0" applyFont="1" applyFill="1" applyBorder="1" applyAlignment="1">
      <alignment horizontal="center"/>
    </xf>
    <xf numFmtId="164" fontId="3" fillId="8" borderId="6" xfId="1" applyNumberFormat="1" applyFont="1" applyFill="1" applyBorder="1"/>
    <xf numFmtId="164" fontId="3" fillId="8" borderId="0" xfId="1" applyNumberFormat="1" applyFont="1" applyFill="1" applyBorder="1"/>
    <xf numFmtId="0" fontId="6" fillId="8" borderId="27" xfId="0" applyFont="1" applyFill="1" applyBorder="1" applyAlignment="1"/>
    <xf numFmtId="0" fontId="6" fillId="8" borderId="9" xfId="0" applyFont="1" applyFill="1" applyBorder="1" applyAlignment="1"/>
    <xf numFmtId="0" fontId="6" fillId="8" borderId="10" xfId="0" applyFont="1" applyFill="1" applyBorder="1" applyAlignment="1">
      <alignment horizontal="center"/>
    </xf>
    <xf numFmtId="164" fontId="6" fillId="8" borderId="6" xfId="1" applyNumberFormat="1" applyFont="1" applyFill="1" applyBorder="1"/>
    <xf numFmtId="164" fontId="6" fillId="8" borderId="0" xfId="1" applyNumberFormat="1" applyFont="1" applyFill="1" applyBorder="1"/>
    <xf numFmtId="0" fontId="6" fillId="0" borderId="27" xfId="0" applyFont="1" applyFill="1" applyBorder="1" applyAlignment="1"/>
    <xf numFmtId="164" fontId="3" fillId="10" borderId="6" xfId="1" applyNumberFormat="1" applyFont="1" applyFill="1" applyBorder="1"/>
    <xf numFmtId="164" fontId="3" fillId="10" borderId="0" xfId="1" applyNumberFormat="1" applyFont="1" applyFill="1" applyBorder="1"/>
    <xf numFmtId="0" fontId="3" fillId="13" borderId="9" xfId="0" applyFont="1" applyFill="1" applyBorder="1" applyAlignment="1"/>
    <xf numFmtId="0" fontId="3" fillId="13" borderId="10" xfId="0" applyFont="1" applyFill="1" applyBorder="1" applyAlignment="1">
      <alignment horizontal="center"/>
    </xf>
    <xf numFmtId="164" fontId="3" fillId="13" borderId="6" xfId="1" applyNumberFormat="1" applyFont="1" applyFill="1" applyBorder="1"/>
    <xf numFmtId="164" fontId="3" fillId="13" borderId="0" xfId="1" applyNumberFormat="1" applyFont="1" applyFill="1" applyBorder="1"/>
    <xf numFmtId="0" fontId="3" fillId="0" borderId="27" xfId="0" applyFont="1" applyBorder="1"/>
    <xf numFmtId="164" fontId="3" fillId="0" borderId="9" xfId="1" applyNumberFormat="1" applyFont="1" applyBorder="1"/>
    <xf numFmtId="164" fontId="3" fillId="0" borderId="10" xfId="1" applyNumberFormat="1" applyFont="1" applyBorder="1"/>
    <xf numFmtId="0" fontId="3" fillId="14" borderId="6" xfId="0" applyFont="1" applyFill="1" applyBorder="1"/>
    <xf numFmtId="164" fontId="3" fillId="14" borderId="6" xfId="1" applyNumberFormat="1" applyFont="1" applyFill="1" applyBorder="1"/>
    <xf numFmtId="0" fontId="6" fillId="8" borderId="28" xfId="0" applyFont="1" applyFill="1" applyBorder="1" applyAlignment="1"/>
    <xf numFmtId="0" fontId="6" fillId="8" borderId="19" xfId="0" applyFont="1" applyFill="1" applyBorder="1" applyAlignment="1">
      <alignment horizontal="center"/>
    </xf>
    <xf numFmtId="0" fontId="8" fillId="4" borderId="0" xfId="0" applyFont="1" applyFill="1" applyAlignment="1">
      <alignment wrapText="1"/>
    </xf>
    <xf numFmtId="0" fontId="16" fillId="4" borderId="6" xfId="0" applyFont="1" applyFill="1" applyBorder="1" applyAlignment="1">
      <alignment wrapText="1"/>
    </xf>
    <xf numFmtId="0" fontId="16" fillId="4" borderId="6" xfId="0" applyFont="1" applyFill="1" applyBorder="1" applyAlignment="1">
      <alignment horizontal="center" wrapText="1"/>
    </xf>
    <xf numFmtId="43" fontId="16" fillId="4" borderId="6" xfId="1" applyFont="1" applyFill="1" applyBorder="1" applyAlignment="1">
      <alignment horizontal="center" wrapText="1"/>
    </xf>
    <xf numFmtId="0" fontId="9" fillId="0" borderId="27" xfId="0" applyFont="1" applyFill="1" applyBorder="1" applyAlignment="1"/>
    <xf numFmtId="43" fontId="9" fillId="0" borderId="10" xfId="1" applyFont="1" applyFill="1" applyBorder="1" applyAlignment="1"/>
    <xf numFmtId="43" fontId="8" fillId="0" borderId="6" xfId="1" applyFont="1" applyBorder="1"/>
    <xf numFmtId="43" fontId="8" fillId="0" borderId="21" xfId="1" applyFont="1" applyBorder="1"/>
    <xf numFmtId="0" fontId="8" fillId="8" borderId="9" xfId="0" applyFont="1" applyFill="1" applyBorder="1" applyAlignment="1"/>
    <xf numFmtId="0" fontId="8" fillId="8" borderId="10" xfId="0" applyFont="1" applyFill="1" applyBorder="1" applyAlignment="1">
      <alignment horizontal="center"/>
    </xf>
    <xf numFmtId="164" fontId="8" fillId="8" borderId="6" xfId="1" applyNumberFormat="1" applyFont="1" applyFill="1" applyBorder="1"/>
    <xf numFmtId="43" fontId="8" fillId="8" borderId="6" xfId="1" applyFont="1" applyFill="1" applyBorder="1"/>
    <xf numFmtId="3" fontId="8" fillId="8" borderId="0" xfId="1" applyNumberFormat="1" applyFont="1" applyFill="1" applyBorder="1"/>
    <xf numFmtId="0" fontId="8" fillId="8" borderId="27" xfId="0" applyFont="1" applyFill="1" applyBorder="1" applyAlignment="1"/>
    <xf numFmtId="0" fontId="8" fillId="15" borderId="6" xfId="0" applyFont="1" applyFill="1" applyBorder="1"/>
    <xf numFmtId="0" fontId="8" fillId="15" borderId="21" xfId="0" applyFont="1" applyFill="1" applyBorder="1"/>
    <xf numFmtId="164" fontId="8" fillId="15" borderId="21" xfId="1" applyNumberFormat="1" applyFont="1" applyFill="1" applyBorder="1"/>
    <xf numFmtId="164" fontId="8" fillId="8" borderId="21" xfId="1" applyNumberFormat="1" applyFont="1" applyFill="1" applyBorder="1"/>
    <xf numFmtId="0" fontId="9" fillId="8" borderId="9" xfId="0" applyFont="1" applyFill="1" applyBorder="1" applyAlignment="1"/>
    <xf numFmtId="0" fontId="9" fillId="8" borderId="10" xfId="0" applyFont="1" applyFill="1" applyBorder="1" applyAlignment="1">
      <alignment horizontal="center"/>
    </xf>
    <xf numFmtId="164" fontId="9" fillId="8" borderId="6" xfId="1" applyNumberFormat="1" applyFont="1" applyFill="1" applyBorder="1"/>
    <xf numFmtId="3" fontId="9" fillId="8" borderId="0" xfId="1" applyNumberFormat="1" applyFont="1" applyFill="1" applyBorder="1"/>
    <xf numFmtId="164" fontId="8" fillId="8" borderId="0" xfId="1" applyNumberFormat="1" applyFont="1" applyFill="1" applyBorder="1"/>
    <xf numFmtId="0" fontId="8" fillId="8" borderId="6" xfId="0" applyFont="1" applyFill="1" applyBorder="1" applyAlignment="1"/>
    <xf numFmtId="0" fontId="9" fillId="8" borderId="6" xfId="0" applyFont="1" applyFill="1" applyBorder="1" applyAlignment="1"/>
    <xf numFmtId="0" fontId="9" fillId="0" borderId="6" xfId="0" applyFont="1" applyFill="1" applyBorder="1" applyAlignment="1"/>
    <xf numFmtId="43" fontId="9" fillId="8" borderId="6" xfId="1" applyFont="1" applyFill="1" applyBorder="1"/>
    <xf numFmtId="43" fontId="13" fillId="16" borderId="25" xfId="1" applyFont="1" applyFill="1" applyBorder="1"/>
    <xf numFmtId="43" fontId="13" fillId="16" borderId="25" xfId="1" applyFont="1" applyFill="1" applyBorder="1" applyAlignment="1">
      <alignment horizontal="center" readingOrder="2"/>
    </xf>
    <xf numFmtId="164" fontId="13" fillId="16" borderId="25" xfId="1" applyNumberFormat="1" applyFont="1" applyFill="1" applyBorder="1"/>
    <xf numFmtId="3" fontId="13" fillId="16" borderId="0" xfId="1" applyNumberFormat="1" applyFont="1" applyFill="1" applyBorder="1"/>
    <xf numFmtId="3" fontId="13" fillId="16" borderId="0" xfId="0" applyNumberFormat="1" applyFont="1" applyFill="1"/>
    <xf numFmtId="0" fontId="14" fillId="16" borderId="0" xfId="0" applyFont="1" applyFill="1"/>
    <xf numFmtId="0" fontId="0" fillId="0" borderId="6" xfId="0" applyBorder="1" applyAlignment="1">
      <alignment horizontal="center"/>
    </xf>
    <xf numFmtId="0" fontId="4" fillId="0" borderId="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/>
    </xf>
  </cellXfs>
  <cellStyles count="15">
    <cellStyle name="Comma" xfId="1" builtinId="3"/>
    <cellStyle name="Comma 2" xfId="3"/>
    <cellStyle name="Comma 2 2" xfId="4"/>
    <cellStyle name="Comma 3" xfId="5"/>
    <cellStyle name="Normal" xfId="0" builtinId="0"/>
    <cellStyle name="Normal 2" xfId="6"/>
    <cellStyle name="Normal 2 2" xfId="7"/>
    <cellStyle name="Normal 3 2" xfId="8"/>
    <cellStyle name="Normal 4" xfId="9"/>
    <cellStyle name="Normal 4 2" xfId="10"/>
    <cellStyle name="Normal 5" xfId="11"/>
    <cellStyle name="Normal 6" xfId="12"/>
    <cellStyle name="Percent 2" xfId="13"/>
    <cellStyle name="הדגשה4" xfId="2" builtinId="41"/>
    <cellStyle name="הערה 2" xfId="14"/>
  </cellStyles>
  <dxfs count="22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aa-pc.g/&#1514;&#1511;&#1510;&#1497;&#1489;&#1497;&#1501;/&#1514;&#1511;&#1510;&#1497;&#1489;&#1497;&#1501;%202017/&#1508;&#1512;&#1491;&#1497;&#1505;/&#1506;&#1491;&#1499;&#1493;&#1503;%20&#1514;&#1511;&#1510;&#1497;&#1489;%202017%2004.12.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laa-pc.g\&#1514;&#1511;&#1510;&#1497;&#1489;&#1497;&#1501;\&#1514;&#1511;&#1510;&#1497;&#1489;&#1497;&#1501;%202017\&#1508;&#1512;&#1491;&#1497;&#1505;\&#1506;&#1491;&#1499;&#1493;&#1503;%20&#1514;&#1511;&#1510;&#1497;&#1489;%202017%2004.12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514;&#1511;&#1510;&#1497;&#1489;%202018%20&#1502;&#1488;&#1493;&#1513;&#1512;%20&#1500;&#1502;&#1500;&#1497;&#1488;&#14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ותרת"/>
      <sheetName val="ריכוז"/>
      <sheetName val="גרפים"/>
      <sheetName val="הכנסות לפי פרק"/>
      <sheetName val="הוצאות לפי פרק"/>
      <sheetName val="הכ"/>
      <sheetName val="תקבולים 2017"/>
      <sheetName val="הוצ"/>
      <sheetName val="תשלומים 2017"/>
      <sheetName val="גיליון1"/>
      <sheetName val="כספי"/>
      <sheetName val="תקציב שכר"/>
      <sheetName val="דוח כספי 31.10"/>
      <sheetName val="הערות"/>
    </sheetNames>
    <sheetDataSet>
      <sheetData sheetId="0"/>
      <sheetData sheetId="1"/>
      <sheetData sheetId="2"/>
      <sheetData sheetId="3"/>
      <sheetData sheetId="4"/>
      <sheetData sheetId="5"/>
      <sheetData sheetId="6">
        <row r="250"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#N/A</v>
          </cell>
          <cell r="P250">
            <v>62584000</v>
          </cell>
          <cell r="Q250">
            <v>59286175.950000003</v>
          </cell>
          <cell r="R250">
            <v>71088499.752000004</v>
          </cell>
        </row>
      </sheetData>
      <sheetData sheetId="7"/>
      <sheetData sheetId="8"/>
      <sheetData sheetId="9"/>
      <sheetData sheetId="10">
        <row r="1">
          <cell r="A1" t="str">
            <v>מס' כרטיס</v>
          </cell>
          <cell r="B1" t="str">
            <v>שנת תקציב</v>
          </cell>
          <cell r="C1" t="str">
            <v>שם כרטיס</v>
          </cell>
          <cell r="D1" t="str">
            <v>תקציב</v>
          </cell>
          <cell r="E1" t="str">
            <v>ביצוע</v>
          </cell>
        </row>
        <row r="2">
          <cell r="A2">
            <v>1111100100</v>
          </cell>
          <cell r="B2">
            <v>2016</v>
          </cell>
          <cell r="C2" t="str">
            <v>ארנונה כללית למגו</v>
          </cell>
          <cell r="D2">
            <v>6400000</v>
          </cell>
          <cell r="E2">
            <v>3605595.66</v>
          </cell>
        </row>
        <row r="3">
          <cell r="A3">
            <v>1111200100</v>
          </cell>
          <cell r="B3">
            <v>2016</v>
          </cell>
          <cell r="C3" t="str">
            <v>ארנונה פיגורים</v>
          </cell>
          <cell r="D3">
            <v>600000</v>
          </cell>
          <cell r="E3">
            <v>355784.76</v>
          </cell>
        </row>
        <row r="4">
          <cell r="A4">
            <v>1116000100</v>
          </cell>
          <cell r="B4">
            <v>2016</v>
          </cell>
          <cell r="C4" t="str">
            <v>הנחות ארנונה</v>
          </cell>
          <cell r="D4">
            <v>5500000</v>
          </cell>
        </row>
        <row r="5">
          <cell r="A5">
            <v>1141000790</v>
          </cell>
          <cell r="B5">
            <v>2016</v>
          </cell>
          <cell r="C5" t="str">
            <v>הועדה במקמית היטל ואגרות</v>
          </cell>
          <cell r="D5">
            <v>960000</v>
          </cell>
        </row>
        <row r="6">
          <cell r="A6">
            <v>1191000910</v>
          </cell>
          <cell r="B6">
            <v>2016</v>
          </cell>
          <cell r="C6" t="str">
            <v>מענק כללי לאיזון</v>
          </cell>
          <cell r="D6">
            <v>10241000</v>
          </cell>
          <cell r="E6">
            <v>7344568.0099999998</v>
          </cell>
        </row>
        <row r="7">
          <cell r="A7">
            <v>1192000910</v>
          </cell>
          <cell r="B7">
            <v>2016</v>
          </cell>
          <cell r="C7" t="str">
            <v>מענק חד פעמי</v>
          </cell>
          <cell r="D7">
            <v>2249000</v>
          </cell>
        </row>
        <row r="8">
          <cell r="A8">
            <v>1221000970</v>
          </cell>
          <cell r="B8">
            <v>2016</v>
          </cell>
          <cell r="C8" t="str">
            <v>עיר ללא אלימות</v>
          </cell>
          <cell r="D8">
            <v>270000</v>
          </cell>
          <cell r="E8">
            <v>79796</v>
          </cell>
        </row>
        <row r="9">
          <cell r="A9">
            <v>1221100990</v>
          </cell>
          <cell r="B9">
            <v>2016</v>
          </cell>
          <cell r="C9" t="str">
            <v>הכנסות ביטחון</v>
          </cell>
          <cell r="D9">
            <v>50000</v>
          </cell>
        </row>
        <row r="10">
          <cell r="A10">
            <v>1231000670</v>
          </cell>
          <cell r="B10">
            <v>2016</v>
          </cell>
          <cell r="C10" t="str">
            <v>מכירת מכרזים</v>
          </cell>
          <cell r="D10">
            <v>0</v>
          </cell>
          <cell r="E10">
            <v>6600</v>
          </cell>
        </row>
        <row r="11">
          <cell r="A11">
            <v>1244000990</v>
          </cell>
          <cell r="B11">
            <v>2016</v>
          </cell>
          <cell r="C11" t="str">
            <v>הכנסות ממשלתיות א</v>
          </cell>
          <cell r="D11">
            <v>24000</v>
          </cell>
          <cell r="E11">
            <v>13500</v>
          </cell>
        </row>
        <row r="12">
          <cell r="A12">
            <v>1269000690</v>
          </cell>
          <cell r="B12">
            <v>2016</v>
          </cell>
          <cell r="C12" t="str">
            <v>הכנסה מאגרות ושלטים</v>
          </cell>
          <cell r="D12">
            <v>3000</v>
          </cell>
        </row>
        <row r="13">
          <cell r="A13">
            <v>1269000790</v>
          </cell>
          <cell r="B13">
            <v>2016</v>
          </cell>
          <cell r="C13" t="str">
            <v>הכנסות שונות</v>
          </cell>
          <cell r="D13">
            <v>2100</v>
          </cell>
          <cell r="E13">
            <v>112.7</v>
          </cell>
        </row>
        <row r="14">
          <cell r="A14">
            <v>1282000290</v>
          </cell>
          <cell r="B14">
            <v>2016</v>
          </cell>
          <cell r="C14" t="str">
            <v>אכיפה חב' גביה</v>
          </cell>
          <cell r="D14">
            <v>40000</v>
          </cell>
          <cell r="E14">
            <v>10454.35</v>
          </cell>
        </row>
        <row r="15">
          <cell r="A15">
            <v>1312200920</v>
          </cell>
          <cell r="B15">
            <v>2016</v>
          </cell>
          <cell r="C15" t="str">
            <v>עוזרות לגננות</v>
          </cell>
          <cell r="D15">
            <v>300000</v>
          </cell>
          <cell r="E15">
            <v>145988.82</v>
          </cell>
        </row>
        <row r="16">
          <cell r="A16">
            <v>1312300920</v>
          </cell>
          <cell r="B16">
            <v>2016</v>
          </cell>
          <cell r="C16" t="str">
            <v>שכל"מ גנ"י קדם חו</v>
          </cell>
          <cell r="D16">
            <v>1250000</v>
          </cell>
          <cell r="E16">
            <v>23211.25</v>
          </cell>
        </row>
        <row r="17">
          <cell r="A17">
            <v>1312410920</v>
          </cell>
          <cell r="B17">
            <v>2016</v>
          </cell>
          <cell r="C17" t="str">
            <v>חוק שילוב סייעות</v>
          </cell>
          <cell r="D17">
            <v>210000</v>
          </cell>
          <cell r="E17">
            <v>130847.22</v>
          </cell>
        </row>
        <row r="18">
          <cell r="A18">
            <v>1312500920</v>
          </cell>
          <cell r="B18">
            <v>2016</v>
          </cell>
          <cell r="C18" t="str">
            <v>מועדוניות משותפות</v>
          </cell>
          <cell r="D18">
            <v>108000</v>
          </cell>
          <cell r="E18">
            <v>82452.399999999994</v>
          </cell>
        </row>
        <row r="19">
          <cell r="A19">
            <v>1312600920</v>
          </cell>
          <cell r="B19">
            <v>2016</v>
          </cell>
          <cell r="C19" t="str">
            <v>דמי שתיה</v>
          </cell>
          <cell r="D19">
            <v>4000</v>
          </cell>
          <cell r="E19">
            <v>3021.8</v>
          </cell>
        </row>
        <row r="20">
          <cell r="A20">
            <v>1312700920</v>
          </cell>
          <cell r="B20">
            <v>2016</v>
          </cell>
          <cell r="C20" t="str">
            <v>אגרות שכפול</v>
          </cell>
          <cell r="D20">
            <v>11000</v>
          </cell>
          <cell r="E20">
            <v>27353.200000000001</v>
          </cell>
        </row>
        <row r="21">
          <cell r="A21">
            <v>1313200420</v>
          </cell>
          <cell r="B21">
            <v>2016</v>
          </cell>
          <cell r="C21" t="str">
            <v>בי"ס יסודיים השתת</v>
          </cell>
          <cell r="D21">
            <v>41000</v>
          </cell>
          <cell r="E21">
            <v>48083</v>
          </cell>
        </row>
        <row r="22">
          <cell r="A22">
            <v>1313200920</v>
          </cell>
          <cell r="B22">
            <v>2016</v>
          </cell>
          <cell r="C22" t="str">
            <v>שרתים השתת ממשלה</v>
          </cell>
          <cell r="D22">
            <v>80000</v>
          </cell>
          <cell r="E22">
            <v>39467.1</v>
          </cell>
        </row>
        <row r="23">
          <cell r="A23">
            <v>1313210920</v>
          </cell>
          <cell r="B23">
            <v>2016</v>
          </cell>
          <cell r="C23" t="str">
            <v>ניהול עצמי משופר 571</v>
          </cell>
          <cell r="D23">
            <v>490000</v>
          </cell>
          <cell r="E23">
            <v>287834.90000000002</v>
          </cell>
        </row>
        <row r="24">
          <cell r="A24">
            <v>1313210921</v>
          </cell>
          <cell r="B24">
            <v>2016</v>
          </cell>
          <cell r="C24" t="str">
            <v>ניהול עצמי עובד סיוע</v>
          </cell>
          <cell r="D24">
            <v>100000</v>
          </cell>
          <cell r="E24">
            <v>52608.88</v>
          </cell>
        </row>
        <row r="25">
          <cell r="A25">
            <v>1313210922</v>
          </cell>
          <cell r="B25">
            <v>2016</v>
          </cell>
          <cell r="C25" t="str">
            <v>נ.עצמי תוס' דפרנציאלי</v>
          </cell>
          <cell r="D25">
            <v>80000</v>
          </cell>
          <cell r="E25">
            <v>52300</v>
          </cell>
        </row>
        <row r="26">
          <cell r="A26">
            <v>1313210923</v>
          </cell>
          <cell r="B26">
            <v>2016</v>
          </cell>
          <cell r="C26" t="str">
            <v>נ.עצמי גמול מנהליות</v>
          </cell>
          <cell r="D26">
            <v>2000</v>
          </cell>
          <cell r="E26">
            <v>1336.4</v>
          </cell>
        </row>
        <row r="27">
          <cell r="A27">
            <v>1313220920</v>
          </cell>
          <cell r="B27">
            <v>2016</v>
          </cell>
          <cell r="C27" t="str">
            <v>השתתפות הורים חומר</v>
          </cell>
          <cell r="D27">
            <v>16500</v>
          </cell>
          <cell r="E27">
            <v>55297.2</v>
          </cell>
        </row>
        <row r="28">
          <cell r="A28">
            <v>1313240920</v>
          </cell>
          <cell r="B28">
            <v>2016</v>
          </cell>
          <cell r="C28" t="str">
            <v>שירותי מנב"ס</v>
          </cell>
          <cell r="E28">
            <v>-3420.73</v>
          </cell>
        </row>
        <row r="29">
          <cell r="A29">
            <v>1313280921</v>
          </cell>
          <cell r="B29">
            <v>2016</v>
          </cell>
          <cell r="C29" t="str">
            <v>ש.קיץ מפגעי בטיחו</v>
          </cell>
          <cell r="D29">
            <v>60700</v>
          </cell>
          <cell r="E29">
            <v>70196.100000000006</v>
          </cell>
        </row>
        <row r="30">
          <cell r="A30">
            <v>1313290921</v>
          </cell>
          <cell r="B30">
            <v>2016</v>
          </cell>
          <cell r="C30" t="str">
            <v>מסגרת קיץ לתלמיד</v>
          </cell>
          <cell r="E30">
            <v>280622.92</v>
          </cell>
        </row>
        <row r="31">
          <cell r="A31">
            <v>1313300920</v>
          </cell>
          <cell r="B31">
            <v>2016</v>
          </cell>
          <cell r="C31" t="str">
            <v>הסעות חינוך מיוחד</v>
          </cell>
          <cell r="D31">
            <v>167000</v>
          </cell>
          <cell r="E31">
            <v>310244.73</v>
          </cell>
        </row>
        <row r="32">
          <cell r="A32">
            <v>1313310920</v>
          </cell>
          <cell r="B32">
            <v>2016</v>
          </cell>
          <cell r="C32" t="str">
            <v>מזכירים</v>
          </cell>
          <cell r="D32">
            <v>32300</v>
          </cell>
          <cell r="E32">
            <v>9448.36</v>
          </cell>
        </row>
        <row r="33">
          <cell r="A33">
            <v>1313320920</v>
          </cell>
          <cell r="B33">
            <v>2016</v>
          </cell>
          <cell r="C33" t="str">
            <v>סייעות כיתתיות</v>
          </cell>
          <cell r="D33">
            <v>415000</v>
          </cell>
          <cell r="E33">
            <v>503604.88</v>
          </cell>
        </row>
        <row r="34">
          <cell r="A34">
            <v>1313800420</v>
          </cell>
          <cell r="B34">
            <v>2016</v>
          </cell>
          <cell r="C34" t="str">
            <v>השת' בקיטנה</v>
          </cell>
          <cell r="D34">
            <v>1500</v>
          </cell>
          <cell r="E34">
            <v>1311.16</v>
          </cell>
        </row>
        <row r="35">
          <cell r="A35">
            <v>1314000920</v>
          </cell>
          <cell r="B35">
            <v>2016</v>
          </cell>
          <cell r="C35" t="str">
            <v>סל תלמיד לחט"ב</v>
          </cell>
          <cell r="D35">
            <v>840000</v>
          </cell>
          <cell r="E35">
            <v>400780.75</v>
          </cell>
        </row>
        <row r="36">
          <cell r="A36">
            <v>1314100921</v>
          </cell>
          <cell r="B36">
            <v>2016</v>
          </cell>
          <cell r="C36" t="str">
            <v>תוכנית תקשוב 121 מחשבים חט"ב</v>
          </cell>
          <cell r="E36">
            <v>-29999.040000000001</v>
          </cell>
        </row>
        <row r="37">
          <cell r="A37">
            <v>1314200920</v>
          </cell>
          <cell r="B37">
            <v>2016</v>
          </cell>
          <cell r="C37" t="str">
            <v>מענק יובל</v>
          </cell>
          <cell r="D37">
            <v>72700</v>
          </cell>
          <cell r="E37">
            <v>90157.38</v>
          </cell>
        </row>
        <row r="38">
          <cell r="A38">
            <v>1314400920</v>
          </cell>
          <cell r="B38">
            <v>2016</v>
          </cell>
          <cell r="C38" t="str">
            <v>הסעות צפון</v>
          </cell>
          <cell r="D38">
            <v>40000</v>
          </cell>
          <cell r="E38">
            <v>39895.19</v>
          </cell>
        </row>
        <row r="39">
          <cell r="A39">
            <v>1315200920</v>
          </cell>
          <cell r="B39">
            <v>2016</v>
          </cell>
          <cell r="C39" t="str">
            <v>שכל"מ על יסודי</v>
          </cell>
          <cell r="D39">
            <v>6500000</v>
          </cell>
          <cell r="E39">
            <v>4927822.71</v>
          </cell>
        </row>
        <row r="40">
          <cell r="A40">
            <v>1315200923</v>
          </cell>
          <cell r="B40">
            <v>2016</v>
          </cell>
          <cell r="C40" t="str">
            <v>מניעת סמים</v>
          </cell>
          <cell r="D40">
            <v>4100</v>
          </cell>
          <cell r="E40">
            <v>4644.4799999999996</v>
          </cell>
        </row>
        <row r="41">
          <cell r="A41">
            <v>1315200924</v>
          </cell>
          <cell r="B41">
            <v>2016</v>
          </cell>
          <cell r="C41" t="str">
            <v>מילוי מקום - מוסדות</v>
          </cell>
          <cell r="D41">
            <v>20000</v>
          </cell>
          <cell r="E41">
            <v>9541.82</v>
          </cell>
        </row>
        <row r="42">
          <cell r="A42">
            <v>1315201920</v>
          </cell>
          <cell r="B42">
            <v>2016</v>
          </cell>
          <cell r="C42" t="str">
            <v>קרן השתלמות לשכ"ל</v>
          </cell>
          <cell r="D42">
            <v>307000</v>
          </cell>
          <cell r="E42">
            <v>216784.48</v>
          </cell>
        </row>
        <row r="43">
          <cell r="A43">
            <v>1315203922</v>
          </cell>
          <cell r="B43">
            <v>2016</v>
          </cell>
          <cell r="C43" t="str">
            <v>חינוך תעבורתי</v>
          </cell>
          <cell r="D43">
            <v>27500</v>
          </cell>
          <cell r="E43">
            <v>14054.92</v>
          </cell>
        </row>
        <row r="44">
          <cell r="A44">
            <v>1315209920</v>
          </cell>
          <cell r="B44">
            <v>2016</v>
          </cell>
          <cell r="C44" t="str">
            <v>ביגוד והבראה</v>
          </cell>
          <cell r="D44">
            <v>240200</v>
          </cell>
          <cell r="E44">
            <v>227044.15</v>
          </cell>
        </row>
        <row r="45">
          <cell r="A45">
            <v>1315210921</v>
          </cell>
          <cell r="B45">
            <v>2016</v>
          </cell>
          <cell r="C45" t="str">
            <v>מענקי השתלמות</v>
          </cell>
          <cell r="D45">
            <v>361700</v>
          </cell>
          <cell r="E45">
            <v>-6258</v>
          </cell>
        </row>
        <row r="46">
          <cell r="A46">
            <v>1315220920</v>
          </cell>
          <cell r="B46">
            <v>2016</v>
          </cell>
          <cell r="C46" t="str">
            <v>מוחזקות חדש פרירא</v>
          </cell>
          <cell r="D46">
            <v>1405000</v>
          </cell>
          <cell r="E46">
            <v>702459.01</v>
          </cell>
        </row>
        <row r="47">
          <cell r="A47">
            <v>1315220921</v>
          </cell>
          <cell r="B47">
            <v>2016</v>
          </cell>
          <cell r="C47" t="str">
            <v>שעות שילוב חט"ע</v>
          </cell>
          <cell r="D47">
            <v>40000</v>
          </cell>
        </row>
        <row r="48">
          <cell r="A48">
            <v>1315240920</v>
          </cell>
          <cell r="B48">
            <v>2016</v>
          </cell>
          <cell r="C48" t="str">
            <v>פעילות שביתה בי"ס</v>
          </cell>
          <cell r="E48">
            <v>-3980.89</v>
          </cell>
        </row>
        <row r="49">
          <cell r="A49">
            <v>1315250920</v>
          </cell>
          <cell r="B49">
            <v>2016</v>
          </cell>
          <cell r="C49" t="str">
            <v>שכ"ל ע"י חימום</v>
          </cell>
          <cell r="D49">
            <v>50000</v>
          </cell>
          <cell r="E49">
            <v>35184.9</v>
          </cell>
        </row>
        <row r="50">
          <cell r="A50">
            <v>1315260920</v>
          </cell>
          <cell r="B50">
            <v>2016</v>
          </cell>
          <cell r="C50" t="str">
            <v>הכנסות מדמי בחינו</v>
          </cell>
          <cell r="E50">
            <v>-1230</v>
          </cell>
        </row>
        <row r="51">
          <cell r="A51">
            <v>1315270920</v>
          </cell>
          <cell r="B51">
            <v>2016</v>
          </cell>
          <cell r="C51" t="str">
            <v>רכב מנהלים ב"ס על</v>
          </cell>
          <cell r="D51">
            <v>10000</v>
          </cell>
          <cell r="E51">
            <v>6686.4</v>
          </cell>
        </row>
        <row r="52">
          <cell r="A52">
            <v>1315280920</v>
          </cell>
          <cell r="B52">
            <v>2016</v>
          </cell>
          <cell r="C52" t="str">
            <v>רכב סגני מנהלים</v>
          </cell>
          <cell r="D52">
            <v>3300</v>
          </cell>
          <cell r="E52">
            <v>2171.1999999999998</v>
          </cell>
        </row>
        <row r="53">
          <cell r="A53">
            <v>1315290920</v>
          </cell>
          <cell r="B53">
            <v>2016</v>
          </cell>
          <cell r="C53" t="str">
            <v>גמול בגרות אחוזי</v>
          </cell>
          <cell r="D53">
            <v>118300</v>
          </cell>
          <cell r="E53">
            <v>77451.199999999997</v>
          </cell>
        </row>
        <row r="54">
          <cell r="A54">
            <v>1315300920</v>
          </cell>
          <cell r="B54">
            <v>2016</v>
          </cell>
          <cell r="C54" t="str">
            <v>ג.רכוז בטיחות בדר</v>
          </cell>
          <cell r="D54">
            <v>44100</v>
          </cell>
        </row>
        <row r="55">
          <cell r="A55">
            <v>1315310920</v>
          </cell>
          <cell r="B55">
            <v>2016</v>
          </cell>
          <cell r="C55" t="str">
            <v>חינוך תעבורתי</v>
          </cell>
          <cell r="E55">
            <v>3487.12</v>
          </cell>
        </row>
        <row r="56">
          <cell r="A56">
            <v>1315410920</v>
          </cell>
          <cell r="B56">
            <v>2016</v>
          </cell>
          <cell r="C56" t="str">
            <v>גמול הל"ל</v>
          </cell>
          <cell r="D56">
            <v>43300</v>
          </cell>
          <cell r="E56">
            <v>5278.72</v>
          </cell>
        </row>
        <row r="57">
          <cell r="A57">
            <v>1315590920</v>
          </cell>
          <cell r="B57">
            <v>2016</v>
          </cell>
          <cell r="C57" t="str">
            <v>גמול טיולים חוץ ב</v>
          </cell>
          <cell r="D57">
            <v>93000</v>
          </cell>
          <cell r="E57">
            <v>61909.77</v>
          </cell>
        </row>
        <row r="58">
          <cell r="A58">
            <v>1317300920</v>
          </cell>
          <cell r="B58">
            <v>2016</v>
          </cell>
          <cell r="C58" t="str">
            <v>פסיכולוגים חינוכי</v>
          </cell>
          <cell r="D58">
            <v>290500</v>
          </cell>
          <cell r="E58">
            <v>202673.78</v>
          </cell>
        </row>
        <row r="59">
          <cell r="A59">
            <v>1317700920</v>
          </cell>
          <cell r="B59">
            <v>2016</v>
          </cell>
          <cell r="C59" t="str">
            <v>קבסי"ם</v>
          </cell>
          <cell r="D59">
            <v>128000</v>
          </cell>
          <cell r="E59">
            <v>86852.9</v>
          </cell>
        </row>
        <row r="60">
          <cell r="A60">
            <v>1317710920</v>
          </cell>
          <cell r="B60">
            <v>2016</v>
          </cell>
          <cell r="C60" t="str">
            <v>קבטי"ם</v>
          </cell>
          <cell r="E60">
            <v>30659.72</v>
          </cell>
        </row>
        <row r="61">
          <cell r="A61">
            <v>1317800920</v>
          </cell>
          <cell r="B61">
            <v>2016</v>
          </cell>
          <cell r="C61" t="str">
            <v>ל.הסעות ח"מ צפון</v>
          </cell>
          <cell r="D61">
            <v>500000</v>
          </cell>
          <cell r="E61">
            <v>59912.24</v>
          </cell>
        </row>
        <row r="62">
          <cell r="A62">
            <v>1319000970</v>
          </cell>
          <cell r="B62">
            <v>2016</v>
          </cell>
          <cell r="C62" t="str">
            <v>אבטחת מוסדות חינוך השתתפות מ. בטחון פנים</v>
          </cell>
          <cell r="E62">
            <v>2062</v>
          </cell>
        </row>
        <row r="63">
          <cell r="A63">
            <v>1319000990</v>
          </cell>
          <cell r="B63">
            <v>2016</v>
          </cell>
          <cell r="C63" t="str">
            <v>השת' משטרה באבטחת מוס""ח"</v>
          </cell>
          <cell r="D63">
            <v>248000</v>
          </cell>
        </row>
        <row r="64">
          <cell r="A64">
            <v>1319900922</v>
          </cell>
          <cell r="B64">
            <v>2016</v>
          </cell>
          <cell r="C64" t="str">
            <v>מניעת נשירה</v>
          </cell>
          <cell r="E64">
            <v>45840</v>
          </cell>
        </row>
        <row r="65">
          <cell r="A65">
            <v>1327100920</v>
          </cell>
          <cell r="B65">
            <v>2016</v>
          </cell>
          <cell r="C65" t="str">
            <v>השת' משטרת ישראל</v>
          </cell>
          <cell r="D65">
            <v>0</v>
          </cell>
          <cell r="E65">
            <v>55357.05</v>
          </cell>
        </row>
        <row r="66">
          <cell r="A66">
            <v>1328100920</v>
          </cell>
          <cell r="B66">
            <v>2016</v>
          </cell>
          <cell r="C66" t="str">
            <v>השת' משרד החינוך ביחידת נוער</v>
          </cell>
          <cell r="E66">
            <v>51300</v>
          </cell>
        </row>
        <row r="67">
          <cell r="A67">
            <v>1328200410</v>
          </cell>
          <cell r="B67">
            <v>2016</v>
          </cell>
          <cell r="C67" t="str">
            <v>השת' ילדים בחוגים</v>
          </cell>
          <cell r="D67">
            <v>12000</v>
          </cell>
          <cell r="E67">
            <v>3400</v>
          </cell>
        </row>
        <row r="68">
          <cell r="A68">
            <v>1328200920</v>
          </cell>
          <cell r="B68">
            <v>2016</v>
          </cell>
          <cell r="C68" t="str">
            <v>מוקדי הפעלת נוער</v>
          </cell>
          <cell r="D68">
            <v>190000</v>
          </cell>
        </row>
        <row r="69">
          <cell r="A69">
            <v>1329000640</v>
          </cell>
          <cell r="B69">
            <v>2016</v>
          </cell>
          <cell r="C69" t="str">
            <v>הכנסות מהשכרת מגרש</v>
          </cell>
          <cell r="D69">
            <v>0</v>
          </cell>
          <cell r="E69">
            <v>800</v>
          </cell>
        </row>
        <row r="70">
          <cell r="A70">
            <v>1329200990</v>
          </cell>
          <cell r="B70">
            <v>2016</v>
          </cell>
          <cell r="C70" t="str">
            <v>הכנסות סל ספורט</v>
          </cell>
          <cell r="D70">
            <v>60000</v>
          </cell>
        </row>
        <row r="71">
          <cell r="A71">
            <v>1329300990</v>
          </cell>
          <cell r="B71">
            <v>2016</v>
          </cell>
          <cell r="C71" t="str">
            <v>מש.המדע והספורט</v>
          </cell>
          <cell r="D71">
            <v>0</v>
          </cell>
          <cell r="E71">
            <v>33118</v>
          </cell>
        </row>
        <row r="72">
          <cell r="A72">
            <v>1341000930</v>
          </cell>
          <cell r="B72">
            <v>2016</v>
          </cell>
          <cell r="C72" t="str">
            <v>שכר עובדי לשכות</v>
          </cell>
          <cell r="D72">
            <v>650000</v>
          </cell>
          <cell r="E72">
            <v>309547</v>
          </cell>
        </row>
        <row r="73">
          <cell r="A73">
            <v>1342200930</v>
          </cell>
          <cell r="B73">
            <v>2016</v>
          </cell>
          <cell r="C73" t="str">
            <v>משפחות במצוקה</v>
          </cell>
          <cell r="D73">
            <v>13300</v>
          </cell>
          <cell r="E73">
            <v>12534</v>
          </cell>
        </row>
        <row r="74">
          <cell r="A74">
            <v>1342200931</v>
          </cell>
          <cell r="B74">
            <v>2016</v>
          </cell>
          <cell r="C74" t="str">
            <v>מקלטים לנשים מוכו</v>
          </cell>
          <cell r="E74">
            <v>6488</v>
          </cell>
        </row>
        <row r="75">
          <cell r="A75">
            <v>1342200932</v>
          </cell>
          <cell r="B75">
            <v>2016</v>
          </cell>
          <cell r="C75" t="str">
            <v>סיוע למשפחות עם י</v>
          </cell>
          <cell r="D75">
            <v>8300</v>
          </cell>
          <cell r="E75">
            <v>4380</v>
          </cell>
        </row>
        <row r="76">
          <cell r="A76">
            <v>1342400931</v>
          </cell>
          <cell r="B76">
            <v>2016</v>
          </cell>
          <cell r="C76" t="str">
            <v>מרכזי טיפול באלימות</v>
          </cell>
          <cell r="E76">
            <v>11777</v>
          </cell>
        </row>
        <row r="77">
          <cell r="A77">
            <v>1343500931</v>
          </cell>
          <cell r="B77">
            <v>2016</v>
          </cell>
          <cell r="C77" t="str">
            <v>טפול בילד בקהילה</v>
          </cell>
          <cell r="D77">
            <v>400000</v>
          </cell>
          <cell r="E77">
            <v>327643</v>
          </cell>
        </row>
        <row r="78">
          <cell r="A78">
            <v>1343510930</v>
          </cell>
          <cell r="B78">
            <v>2016</v>
          </cell>
          <cell r="C78" t="str">
            <v>יצירת קשר הורים ילדים</v>
          </cell>
          <cell r="D78">
            <v>1300</v>
          </cell>
          <cell r="E78">
            <v>276</v>
          </cell>
        </row>
        <row r="79">
          <cell r="A79">
            <v>1343800930</v>
          </cell>
          <cell r="B79">
            <v>2016</v>
          </cell>
          <cell r="C79" t="str">
            <v>אחזקת ילדים בפנמי</v>
          </cell>
          <cell r="D79">
            <v>376000</v>
          </cell>
          <cell r="E79">
            <v>310351</v>
          </cell>
        </row>
        <row r="80">
          <cell r="A80">
            <v>1343800931</v>
          </cell>
          <cell r="B80">
            <v>2016</v>
          </cell>
          <cell r="C80" t="str">
            <v>תכנית עם הפנים לקהיל</v>
          </cell>
          <cell r="D80">
            <v>30000</v>
          </cell>
        </row>
        <row r="81">
          <cell r="A81">
            <v>1343900930</v>
          </cell>
          <cell r="B81">
            <v>2016</v>
          </cell>
          <cell r="C81" t="str">
            <v>ילדים מעון יום</v>
          </cell>
          <cell r="D81">
            <v>280000</v>
          </cell>
          <cell r="E81">
            <v>204802</v>
          </cell>
        </row>
        <row r="82">
          <cell r="A82">
            <v>1343910930</v>
          </cell>
          <cell r="B82">
            <v>2016</v>
          </cell>
          <cell r="C82" t="str">
            <v>תוכנית לאומית לילדים ונוער בסיכון</v>
          </cell>
          <cell r="D82">
            <v>287000</v>
          </cell>
        </row>
        <row r="83">
          <cell r="A83">
            <v>1344400930</v>
          </cell>
          <cell r="B83">
            <v>2016</v>
          </cell>
          <cell r="C83" t="str">
            <v>טפול בזקן בקהילה</v>
          </cell>
          <cell r="D83">
            <v>29300</v>
          </cell>
        </row>
        <row r="84">
          <cell r="A84">
            <v>1344500910</v>
          </cell>
          <cell r="B84">
            <v>2016</v>
          </cell>
          <cell r="C84" t="str">
            <v>מועדנים מועשרים</v>
          </cell>
          <cell r="D84">
            <v>78700</v>
          </cell>
          <cell r="E84">
            <v>70843</v>
          </cell>
        </row>
        <row r="85">
          <cell r="A85">
            <v>1344500930</v>
          </cell>
          <cell r="B85">
            <v>2016</v>
          </cell>
          <cell r="C85" t="str">
            <v>מועדון מועשר</v>
          </cell>
          <cell r="D85">
            <v>180000</v>
          </cell>
        </row>
        <row r="86">
          <cell r="A86">
            <v>1345100930</v>
          </cell>
          <cell r="B86">
            <v>2016</v>
          </cell>
          <cell r="C86" t="str">
            <v>סדורי מפגרים במוס</v>
          </cell>
          <cell r="D86">
            <v>1087000</v>
          </cell>
          <cell r="E86">
            <v>806407</v>
          </cell>
        </row>
        <row r="87">
          <cell r="A87">
            <v>1345110930</v>
          </cell>
          <cell r="B87">
            <v>2016</v>
          </cell>
          <cell r="C87" t="str">
            <v>טיפול בהורים ובילדיה</v>
          </cell>
          <cell r="D87">
            <v>5000</v>
          </cell>
        </row>
        <row r="88">
          <cell r="A88">
            <v>1345200930</v>
          </cell>
          <cell r="B88">
            <v>2016</v>
          </cell>
          <cell r="C88" t="str">
            <v>מפגרים במעוןטפולי</v>
          </cell>
          <cell r="D88">
            <v>180000</v>
          </cell>
          <cell r="E88">
            <v>109067</v>
          </cell>
        </row>
        <row r="89">
          <cell r="A89">
            <v>1345200931</v>
          </cell>
          <cell r="B89">
            <v>2016</v>
          </cell>
          <cell r="C89" t="str">
            <v>מעשי"ם</v>
          </cell>
          <cell r="D89">
            <v>550000</v>
          </cell>
          <cell r="E89">
            <v>383855</v>
          </cell>
        </row>
        <row r="90">
          <cell r="A90">
            <v>1345300932</v>
          </cell>
          <cell r="B90">
            <v>2016</v>
          </cell>
          <cell r="C90" t="str">
            <v>הסעות למעון יום למפגר</v>
          </cell>
          <cell r="D90">
            <v>22000</v>
          </cell>
          <cell r="E90">
            <v>19185</v>
          </cell>
        </row>
        <row r="91">
          <cell r="A91">
            <v>1346300931</v>
          </cell>
          <cell r="B91">
            <v>2016</v>
          </cell>
          <cell r="C91" t="str">
            <v>הדרכת עוור ובני ביתו</v>
          </cell>
          <cell r="D91">
            <v>5000</v>
          </cell>
        </row>
        <row r="92">
          <cell r="A92">
            <v>1346400930</v>
          </cell>
          <cell r="B92">
            <v>2016</v>
          </cell>
          <cell r="C92" t="str">
            <v>מפעלי שיקום לעוור</v>
          </cell>
          <cell r="D92">
            <v>7000</v>
          </cell>
        </row>
        <row r="93">
          <cell r="A93">
            <v>1346600930</v>
          </cell>
          <cell r="B93">
            <v>2016</v>
          </cell>
          <cell r="C93" t="str">
            <v>תעסוקה מוגנת למוג</v>
          </cell>
          <cell r="D93">
            <v>23300</v>
          </cell>
          <cell r="E93">
            <v>8217</v>
          </cell>
        </row>
        <row r="94">
          <cell r="A94">
            <v>1346700930</v>
          </cell>
          <cell r="B94">
            <v>2016</v>
          </cell>
          <cell r="C94" t="str">
            <v>תעסוקה נתמכת לנכי</v>
          </cell>
          <cell r="E94">
            <v>6667</v>
          </cell>
        </row>
        <row r="95">
          <cell r="A95">
            <v>1347300932</v>
          </cell>
          <cell r="B95">
            <v>2016</v>
          </cell>
          <cell r="C95" t="str">
            <v>התמכרויות - מבוגרים</v>
          </cell>
          <cell r="D95">
            <v>0</v>
          </cell>
          <cell r="E95">
            <v>1687</v>
          </cell>
        </row>
        <row r="96">
          <cell r="A96">
            <v>1371000990</v>
          </cell>
          <cell r="B96">
            <v>2016</v>
          </cell>
          <cell r="C96" t="str">
            <v>פרוייקט סביבה נקיה / השתתפות המשרד</v>
          </cell>
          <cell r="D96">
            <v>0</v>
          </cell>
          <cell r="E96">
            <v>20096</v>
          </cell>
        </row>
        <row r="97">
          <cell r="A97">
            <v>1413100211</v>
          </cell>
          <cell r="B97">
            <v>2016</v>
          </cell>
          <cell r="C97" t="str">
            <v>מים פגורים</v>
          </cell>
          <cell r="D97">
            <v>40000</v>
          </cell>
          <cell r="E97">
            <v>20937.099999999999</v>
          </cell>
        </row>
        <row r="98">
          <cell r="A98">
            <v>1413300800</v>
          </cell>
          <cell r="B98">
            <v>2016</v>
          </cell>
          <cell r="C98" t="str">
            <v>הכנסות אחרות ממים</v>
          </cell>
          <cell r="D98">
            <v>1000</v>
          </cell>
          <cell r="E98">
            <v>244.89</v>
          </cell>
        </row>
        <row r="99">
          <cell r="A99">
            <v>1472000211</v>
          </cell>
          <cell r="B99">
            <v>2016</v>
          </cell>
          <cell r="C99" t="str">
            <v>יתרות ביוב</v>
          </cell>
          <cell r="D99">
            <v>0</v>
          </cell>
          <cell r="E99">
            <v>2029.7</v>
          </cell>
        </row>
        <row r="100">
          <cell r="A100">
            <v>1472000810</v>
          </cell>
          <cell r="B100">
            <v>2016</v>
          </cell>
          <cell r="C100" t="str">
            <v>היטל ביוב</v>
          </cell>
          <cell r="D100">
            <v>0</v>
          </cell>
          <cell r="E100">
            <v>21676.13</v>
          </cell>
        </row>
        <row r="101">
          <cell r="A101">
            <v>1513000690</v>
          </cell>
          <cell r="B101">
            <v>2016</v>
          </cell>
          <cell r="C101" t="str">
            <v>תקבולים מהחזר הוצ</v>
          </cell>
          <cell r="D101">
            <v>0</v>
          </cell>
          <cell r="E101">
            <v>15271.46</v>
          </cell>
        </row>
        <row r="102">
          <cell r="A102">
            <v>1570000265</v>
          </cell>
          <cell r="B102">
            <v>2016</v>
          </cell>
          <cell r="C102" t="str">
            <v>השת'מועצות בפנסיה</v>
          </cell>
          <cell r="D102">
            <v>89000</v>
          </cell>
          <cell r="E102">
            <v>44646</v>
          </cell>
        </row>
        <row r="103">
          <cell r="A103">
            <v>1570000269</v>
          </cell>
          <cell r="B103">
            <v>2016</v>
          </cell>
          <cell r="C103" t="str">
            <v>השת' מועצות שכר ו</v>
          </cell>
          <cell r="D103">
            <v>240000</v>
          </cell>
          <cell r="E103">
            <v>29761.599999999999</v>
          </cell>
        </row>
        <row r="104">
          <cell r="A104">
            <v>1599000000</v>
          </cell>
          <cell r="B104">
            <v>2016</v>
          </cell>
          <cell r="C104" t="str">
            <v>מחזור מלוות</v>
          </cell>
          <cell r="E104">
            <v>414</v>
          </cell>
        </row>
        <row r="105">
          <cell r="A105">
            <v>1599100910</v>
          </cell>
          <cell r="B105">
            <v>2016</v>
          </cell>
          <cell r="C105" t="str">
            <v>הכנסות כסוי גרעון</v>
          </cell>
          <cell r="D105">
            <v>0</v>
          </cell>
          <cell r="E105">
            <v>7098000</v>
          </cell>
        </row>
        <row r="106">
          <cell r="A106">
            <v>1599100990</v>
          </cell>
          <cell r="B106">
            <v>2016</v>
          </cell>
          <cell r="C106" t="str">
            <v>הכנסות מותנות</v>
          </cell>
          <cell r="D106">
            <v>1200000</v>
          </cell>
        </row>
        <row r="107">
          <cell r="A107">
            <v>1599900000</v>
          </cell>
          <cell r="B107">
            <v>2016</v>
          </cell>
          <cell r="C107" t="str">
            <v>הכנסות חד פעמיות</v>
          </cell>
          <cell r="D107">
            <v>0</v>
          </cell>
          <cell r="E107">
            <v>545213.48</v>
          </cell>
        </row>
        <row r="108">
          <cell r="E108">
            <v>31286099.390000001</v>
          </cell>
        </row>
        <row r="109">
          <cell r="A109">
            <v>1611100110</v>
          </cell>
          <cell r="B109">
            <v>2016</v>
          </cell>
          <cell r="C109" t="str">
            <v>מש.נבחרים</v>
          </cell>
          <cell r="D109">
            <v>755000</v>
          </cell>
          <cell r="E109">
            <v>487900.45</v>
          </cell>
        </row>
        <row r="110">
          <cell r="A110">
            <v>1611100511</v>
          </cell>
          <cell r="B110">
            <v>2016</v>
          </cell>
          <cell r="C110" t="str">
            <v>ראש הרשות המקומית</v>
          </cell>
          <cell r="D110">
            <v>7000</v>
          </cell>
          <cell r="E110">
            <v>4832.71</v>
          </cell>
        </row>
        <row r="111">
          <cell r="A111">
            <v>1611100512</v>
          </cell>
          <cell r="B111">
            <v>2016</v>
          </cell>
          <cell r="C111" t="str">
            <v>אש'ל ונסיעות</v>
          </cell>
          <cell r="D111">
            <v>2000</v>
          </cell>
          <cell r="E111">
            <v>1951</v>
          </cell>
        </row>
        <row r="112">
          <cell r="A112">
            <v>1611100514</v>
          </cell>
          <cell r="B112">
            <v>2016</v>
          </cell>
          <cell r="C112" t="str">
            <v>רכישת מתנות</v>
          </cell>
          <cell r="D112">
            <v>1000</v>
          </cell>
        </row>
        <row r="113">
          <cell r="A113">
            <v>1611100521</v>
          </cell>
          <cell r="B113">
            <v>2016</v>
          </cell>
          <cell r="C113" t="str">
            <v>השתלמות ראש רשות</v>
          </cell>
          <cell r="D113">
            <v>6500</v>
          </cell>
        </row>
        <row r="114">
          <cell r="A114">
            <v>1611100523</v>
          </cell>
          <cell r="B114">
            <v>2016</v>
          </cell>
          <cell r="C114" t="str">
            <v>דמי חבר מרכז</v>
          </cell>
          <cell r="D114">
            <v>10000</v>
          </cell>
        </row>
        <row r="115">
          <cell r="A115">
            <v>1611100750</v>
          </cell>
          <cell r="B115">
            <v>2016</v>
          </cell>
          <cell r="C115" t="str">
            <v>ע.קבלניות ראש המו</v>
          </cell>
          <cell r="D115">
            <v>170000</v>
          </cell>
          <cell r="E115">
            <v>29972</v>
          </cell>
        </row>
        <row r="116">
          <cell r="A116">
            <v>1611100780</v>
          </cell>
          <cell r="B116">
            <v>2016</v>
          </cell>
          <cell r="C116" t="str">
            <v>שונות ראש מועצה (עדות)</v>
          </cell>
          <cell r="D116">
            <v>25000</v>
          </cell>
          <cell r="E116">
            <v>17275</v>
          </cell>
        </row>
        <row r="117">
          <cell r="A117">
            <v>1611100800</v>
          </cell>
          <cell r="B117">
            <v>2016</v>
          </cell>
          <cell r="C117" t="str">
            <v>השתתפות באשכול גליל</v>
          </cell>
          <cell r="D117">
            <v>11000</v>
          </cell>
          <cell r="E117">
            <v>12622.5</v>
          </cell>
        </row>
        <row r="118">
          <cell r="A118">
            <v>1611100810</v>
          </cell>
          <cell r="B118">
            <v>2016</v>
          </cell>
          <cell r="C118" t="str">
            <v>האגודה למען החייל</v>
          </cell>
          <cell r="D118">
            <v>10000</v>
          </cell>
        </row>
        <row r="119">
          <cell r="A119">
            <v>1611200110</v>
          </cell>
          <cell r="B119">
            <v>2016</v>
          </cell>
          <cell r="C119" t="str">
            <v>יועצת לקידום מעמד האישה</v>
          </cell>
          <cell r="D119">
            <v>24000</v>
          </cell>
          <cell r="E119">
            <v>12319.49</v>
          </cell>
        </row>
        <row r="120">
          <cell r="A120">
            <v>1611200780</v>
          </cell>
          <cell r="B120">
            <v>2016</v>
          </cell>
          <cell r="C120" t="str">
            <v>מעמד אישה פעילות</v>
          </cell>
          <cell r="D120">
            <v>60000</v>
          </cell>
          <cell r="E120">
            <v>2069.1999999999998</v>
          </cell>
        </row>
        <row r="121">
          <cell r="A121">
            <v>1612000110</v>
          </cell>
          <cell r="B121">
            <v>2016</v>
          </cell>
          <cell r="C121" t="str">
            <v>מבקר פנים</v>
          </cell>
          <cell r="D121">
            <v>115000</v>
          </cell>
        </row>
        <row r="122">
          <cell r="A122">
            <v>1613000110</v>
          </cell>
          <cell r="B122">
            <v>2016</v>
          </cell>
          <cell r="C122" t="str">
            <v>מש.מזכיר מועצה</v>
          </cell>
          <cell r="D122">
            <v>199000</v>
          </cell>
          <cell r="E122">
            <v>128297.33</v>
          </cell>
        </row>
        <row r="123">
          <cell r="A123">
            <v>1613000580</v>
          </cell>
          <cell r="B123">
            <v>2016</v>
          </cell>
          <cell r="C123" t="str">
            <v>הוצאות ארגוניות שונות</v>
          </cell>
          <cell r="E123">
            <v>32062</v>
          </cell>
        </row>
        <row r="124">
          <cell r="A124">
            <v>1615000110</v>
          </cell>
          <cell r="B124">
            <v>2016</v>
          </cell>
          <cell r="C124" t="str">
            <v>משכורת מנגנון</v>
          </cell>
          <cell r="D124">
            <v>455000</v>
          </cell>
          <cell r="E124">
            <v>325786.34999999998</v>
          </cell>
        </row>
        <row r="125">
          <cell r="A125">
            <v>1615000410</v>
          </cell>
          <cell r="B125">
            <v>2016</v>
          </cell>
          <cell r="C125" t="str">
            <v>שכרות המועצה</v>
          </cell>
          <cell r="D125">
            <v>27500</v>
          </cell>
          <cell r="E125">
            <v>23296</v>
          </cell>
        </row>
        <row r="126">
          <cell r="A126">
            <v>1615000420</v>
          </cell>
          <cell r="B126">
            <v>2016</v>
          </cell>
          <cell r="C126" t="str">
            <v>תקונים</v>
          </cell>
          <cell r="D126">
            <v>10000</v>
          </cell>
          <cell r="E126">
            <v>10058</v>
          </cell>
        </row>
        <row r="127">
          <cell r="A127">
            <v>1615000430</v>
          </cell>
          <cell r="B127">
            <v>2016</v>
          </cell>
          <cell r="C127" t="str">
            <v>חשמל מים חומרי נק</v>
          </cell>
          <cell r="D127">
            <v>53000</v>
          </cell>
          <cell r="E127">
            <v>67427.3</v>
          </cell>
        </row>
        <row r="128">
          <cell r="A128">
            <v>1615000450</v>
          </cell>
          <cell r="B128">
            <v>2016</v>
          </cell>
          <cell r="C128" t="str">
            <v>רהוט ואחזקתו</v>
          </cell>
          <cell r="D128">
            <v>12000</v>
          </cell>
          <cell r="E128">
            <v>2062.1999999999998</v>
          </cell>
        </row>
        <row r="129">
          <cell r="A129">
            <v>1615000470</v>
          </cell>
          <cell r="B129">
            <v>2016</v>
          </cell>
          <cell r="C129" t="str">
            <v>מכונות משרד והחזק</v>
          </cell>
          <cell r="D129">
            <v>20000</v>
          </cell>
          <cell r="E129">
            <v>14368.3</v>
          </cell>
        </row>
        <row r="130">
          <cell r="A130">
            <v>1615000511</v>
          </cell>
          <cell r="B130">
            <v>2016</v>
          </cell>
          <cell r="C130" t="str">
            <v>מנגנון אירוח וכיב</v>
          </cell>
          <cell r="D130">
            <v>16000</v>
          </cell>
          <cell r="E130">
            <v>11808.98</v>
          </cell>
        </row>
        <row r="131">
          <cell r="A131">
            <v>1615000512</v>
          </cell>
          <cell r="B131">
            <v>2016</v>
          </cell>
          <cell r="C131" t="str">
            <v>מנגנון אש"ל ונסיו</v>
          </cell>
          <cell r="D131">
            <v>2000</v>
          </cell>
          <cell r="E131">
            <v>1784.7</v>
          </cell>
        </row>
        <row r="132">
          <cell r="A132">
            <v>1615000521</v>
          </cell>
          <cell r="B132">
            <v>2016</v>
          </cell>
          <cell r="C132" t="str">
            <v>השמלמות עובדים</v>
          </cell>
          <cell r="D132">
            <v>30000</v>
          </cell>
          <cell r="E132">
            <v>2330</v>
          </cell>
        </row>
        <row r="133">
          <cell r="A133">
            <v>1615000540</v>
          </cell>
          <cell r="B133">
            <v>2016</v>
          </cell>
          <cell r="C133" t="str">
            <v>טלפון</v>
          </cell>
          <cell r="D133">
            <v>54000</v>
          </cell>
          <cell r="E133">
            <v>40247.339999999997</v>
          </cell>
        </row>
        <row r="134">
          <cell r="A134">
            <v>1615000550</v>
          </cell>
          <cell r="B134">
            <v>2016</v>
          </cell>
          <cell r="C134" t="str">
            <v>מנגנון הוצאות פרס</v>
          </cell>
          <cell r="D134">
            <v>23000</v>
          </cell>
          <cell r="E134">
            <v>14755</v>
          </cell>
        </row>
        <row r="135">
          <cell r="A135">
            <v>1615000560</v>
          </cell>
          <cell r="B135">
            <v>2016</v>
          </cell>
          <cell r="C135" t="str">
            <v>מנגנון הוצאות משר</v>
          </cell>
          <cell r="D135">
            <v>40000</v>
          </cell>
          <cell r="E135">
            <v>30991.42</v>
          </cell>
        </row>
        <row r="136">
          <cell r="A136">
            <v>1617000750</v>
          </cell>
          <cell r="B136">
            <v>2016</v>
          </cell>
          <cell r="C136" t="str">
            <v>ע.קבלניות</v>
          </cell>
          <cell r="D136">
            <v>300000</v>
          </cell>
          <cell r="E136">
            <v>184167.17</v>
          </cell>
        </row>
        <row r="137">
          <cell r="A137">
            <v>1617000850</v>
          </cell>
          <cell r="B137">
            <v>2016</v>
          </cell>
          <cell r="C137" t="str">
            <v>הוצ תביעות משפטיות</v>
          </cell>
          <cell r="D137">
            <v>90000</v>
          </cell>
          <cell r="E137">
            <v>45092</v>
          </cell>
        </row>
        <row r="138">
          <cell r="A138">
            <v>1621100110</v>
          </cell>
          <cell r="B138">
            <v>2016</v>
          </cell>
          <cell r="C138" t="str">
            <v>משכורת גזבר</v>
          </cell>
          <cell r="D138">
            <v>390000</v>
          </cell>
          <cell r="E138">
            <v>261766.44</v>
          </cell>
        </row>
        <row r="139">
          <cell r="A139">
            <v>1621100523</v>
          </cell>
          <cell r="B139">
            <v>2016</v>
          </cell>
          <cell r="C139" t="str">
            <v>דמי חבר והשתלמות</v>
          </cell>
          <cell r="D139">
            <v>10000</v>
          </cell>
          <cell r="E139">
            <v>6000</v>
          </cell>
        </row>
        <row r="140">
          <cell r="A140">
            <v>1621100750</v>
          </cell>
          <cell r="B140">
            <v>2016</v>
          </cell>
          <cell r="C140" t="str">
            <v>הנהלת הגזברות עבו</v>
          </cell>
          <cell r="D140">
            <v>310000</v>
          </cell>
          <cell r="E140">
            <v>187200</v>
          </cell>
        </row>
        <row r="141">
          <cell r="A141">
            <v>1621300110</v>
          </cell>
          <cell r="B141">
            <v>2016</v>
          </cell>
          <cell r="C141" t="str">
            <v>משכורת הנ"ח</v>
          </cell>
          <cell r="D141">
            <v>304000</v>
          </cell>
          <cell r="E141">
            <v>215809.05</v>
          </cell>
        </row>
        <row r="142">
          <cell r="A142">
            <v>1621300570</v>
          </cell>
          <cell r="B142">
            <v>2016</v>
          </cell>
          <cell r="C142" t="str">
            <v>מיכון ומחשוב</v>
          </cell>
          <cell r="D142">
            <v>210000</v>
          </cell>
          <cell r="E142">
            <v>143720.68</v>
          </cell>
        </row>
        <row r="143">
          <cell r="A143">
            <v>1623100110</v>
          </cell>
          <cell r="B143">
            <v>2016</v>
          </cell>
          <cell r="C143" t="str">
            <v>משכורת-גביה</v>
          </cell>
          <cell r="D143">
            <v>313000</v>
          </cell>
          <cell r="E143">
            <v>242790.23</v>
          </cell>
        </row>
        <row r="144">
          <cell r="A144">
            <v>1623100750</v>
          </cell>
          <cell r="B144">
            <v>2016</v>
          </cell>
          <cell r="C144" t="str">
            <v>עבודות גביה קבלני</v>
          </cell>
          <cell r="E144">
            <v>81542.5</v>
          </cell>
        </row>
        <row r="145">
          <cell r="A145">
            <v>1631000610</v>
          </cell>
          <cell r="B145">
            <v>2016</v>
          </cell>
          <cell r="C145" t="str">
            <v>עמלות</v>
          </cell>
          <cell r="D145">
            <v>267000</v>
          </cell>
          <cell r="E145">
            <v>162113.5</v>
          </cell>
        </row>
        <row r="146">
          <cell r="A146">
            <v>1632000610</v>
          </cell>
          <cell r="B146">
            <v>2016</v>
          </cell>
          <cell r="C146" t="str">
            <v>עמלת עיקולים</v>
          </cell>
          <cell r="D146">
            <v>15000</v>
          </cell>
          <cell r="E146">
            <v>20668.5</v>
          </cell>
        </row>
        <row r="147">
          <cell r="A147">
            <v>1632000620</v>
          </cell>
          <cell r="B147">
            <v>2016</v>
          </cell>
          <cell r="C147" t="str">
            <v>הוצאות מימון ריבי</v>
          </cell>
          <cell r="D147">
            <v>0</v>
          </cell>
          <cell r="E147">
            <v>105443.29</v>
          </cell>
        </row>
        <row r="148">
          <cell r="A148">
            <v>1632000630</v>
          </cell>
          <cell r="B148">
            <v>2016</v>
          </cell>
          <cell r="C148" t="str">
            <v>רבית מוסדות</v>
          </cell>
          <cell r="E148">
            <v>43836</v>
          </cell>
        </row>
        <row r="149">
          <cell r="A149">
            <v>1632000650</v>
          </cell>
          <cell r="B149">
            <v>2016</v>
          </cell>
          <cell r="C149" t="str">
            <v>רית ספקים</v>
          </cell>
          <cell r="D149">
            <v>600000</v>
          </cell>
          <cell r="E149">
            <v>20000</v>
          </cell>
        </row>
        <row r="150">
          <cell r="A150">
            <v>1632000660</v>
          </cell>
          <cell r="B150">
            <v>2016</v>
          </cell>
          <cell r="C150" t="str">
            <v>רבית ספקים איחוד</v>
          </cell>
          <cell r="E150">
            <v>200819</v>
          </cell>
        </row>
        <row r="151">
          <cell r="A151">
            <v>1648000691</v>
          </cell>
          <cell r="B151">
            <v>2016</v>
          </cell>
          <cell r="C151" t="str">
            <v>פ.מלוות קרן</v>
          </cell>
          <cell r="D151">
            <v>1600000</v>
          </cell>
          <cell r="E151">
            <v>1776880.83</v>
          </cell>
        </row>
        <row r="152">
          <cell r="A152">
            <v>1648000692</v>
          </cell>
          <cell r="B152">
            <v>2016</v>
          </cell>
          <cell r="C152" t="str">
            <v>פ מלוות ריבית</v>
          </cell>
          <cell r="D152">
            <v>750000</v>
          </cell>
          <cell r="E152">
            <v>130181.07</v>
          </cell>
        </row>
        <row r="153">
          <cell r="A153">
            <v>1648000693</v>
          </cell>
          <cell r="B153">
            <v>2016</v>
          </cell>
          <cell r="C153" t="str">
            <v>פ מלוות-הצמדה</v>
          </cell>
          <cell r="D153">
            <v>156000</v>
          </cell>
          <cell r="E153">
            <v>102548.3</v>
          </cell>
        </row>
        <row r="154">
          <cell r="A154">
            <v>1649200691</v>
          </cell>
          <cell r="B154">
            <v>2016</v>
          </cell>
          <cell r="C154" t="str">
            <v>פ.מ.קרן</v>
          </cell>
          <cell r="D154">
            <v>107500</v>
          </cell>
          <cell r="E154">
            <v>2623.72</v>
          </cell>
        </row>
        <row r="155">
          <cell r="A155">
            <v>1649200692</v>
          </cell>
          <cell r="B155">
            <v>2016</v>
          </cell>
          <cell r="C155" t="str">
            <v>פ.מ. ריבית</v>
          </cell>
          <cell r="D155">
            <v>62000</v>
          </cell>
          <cell r="E155">
            <v>12662.41</v>
          </cell>
        </row>
        <row r="156">
          <cell r="A156">
            <v>1649200693</v>
          </cell>
          <cell r="B156">
            <v>2016</v>
          </cell>
          <cell r="C156" t="str">
            <v>פ.מ. הצמדה</v>
          </cell>
          <cell r="D156">
            <v>15000</v>
          </cell>
          <cell r="E156">
            <v>378.8</v>
          </cell>
        </row>
        <row r="157">
          <cell r="A157">
            <v>1712200110</v>
          </cell>
          <cell r="B157">
            <v>2016</v>
          </cell>
          <cell r="C157" t="str">
            <v>ניקוי רחובות שכר</v>
          </cell>
          <cell r="D157">
            <v>52000</v>
          </cell>
          <cell r="E157">
            <v>34631.199999999997</v>
          </cell>
        </row>
        <row r="158">
          <cell r="A158">
            <v>1712200750</v>
          </cell>
          <cell r="B158">
            <v>2016</v>
          </cell>
          <cell r="C158" t="str">
            <v>יקוי רחובות קבלני</v>
          </cell>
          <cell r="D158">
            <v>7000</v>
          </cell>
          <cell r="E158">
            <v>6847</v>
          </cell>
        </row>
        <row r="159">
          <cell r="A159">
            <v>1712300750</v>
          </cell>
          <cell r="B159">
            <v>2016</v>
          </cell>
          <cell r="C159" t="str">
            <v>פנוי אשפה</v>
          </cell>
          <cell r="D159">
            <v>1680000</v>
          </cell>
          <cell r="E159">
            <v>980846</v>
          </cell>
        </row>
        <row r="160">
          <cell r="A160">
            <v>1712300751</v>
          </cell>
          <cell r="B160">
            <v>2016</v>
          </cell>
          <cell r="C160" t="str">
            <v>ניקוי אתרי פסולת</v>
          </cell>
          <cell r="D160">
            <v>3000</v>
          </cell>
        </row>
        <row r="161">
          <cell r="A161">
            <v>1712300930</v>
          </cell>
          <cell r="B161">
            <v>2016</v>
          </cell>
          <cell r="C161" t="str">
            <v>כלים וציוד</v>
          </cell>
          <cell r="D161">
            <v>34000</v>
          </cell>
          <cell r="E161">
            <v>29753.66</v>
          </cell>
        </row>
        <row r="162">
          <cell r="A162">
            <v>1713000110</v>
          </cell>
          <cell r="B162">
            <v>2016</v>
          </cell>
          <cell r="C162" t="str">
            <v>משכורת תברואה</v>
          </cell>
          <cell r="D162">
            <v>173000</v>
          </cell>
          <cell r="E162">
            <v>112926.96</v>
          </cell>
        </row>
        <row r="163">
          <cell r="A163">
            <v>1714000110</v>
          </cell>
          <cell r="B163">
            <v>2016</v>
          </cell>
          <cell r="C163" t="str">
            <v>משכורת ויטרנר</v>
          </cell>
          <cell r="D163">
            <v>317500</v>
          </cell>
          <cell r="E163">
            <v>208855.31</v>
          </cell>
        </row>
        <row r="164">
          <cell r="A164">
            <v>1714300750</v>
          </cell>
          <cell r="B164">
            <v>2016</v>
          </cell>
          <cell r="C164" t="str">
            <v>מלחמה בכלבת</v>
          </cell>
          <cell r="D164">
            <v>1000</v>
          </cell>
        </row>
        <row r="165">
          <cell r="A165">
            <v>1715000110</v>
          </cell>
          <cell r="B165">
            <v>2016</v>
          </cell>
          <cell r="C165" t="str">
            <v>משכורת-רסוס</v>
          </cell>
          <cell r="D165">
            <v>51000</v>
          </cell>
          <cell r="E165">
            <v>36688.400000000001</v>
          </cell>
        </row>
        <row r="166">
          <cell r="A166">
            <v>1715200720</v>
          </cell>
          <cell r="B166">
            <v>2016</v>
          </cell>
          <cell r="C166" t="str">
            <v>חומרים</v>
          </cell>
          <cell r="D166">
            <v>3000</v>
          </cell>
        </row>
        <row r="167">
          <cell r="A167">
            <v>1715200750</v>
          </cell>
          <cell r="B167">
            <v>2016</v>
          </cell>
          <cell r="C167" t="str">
            <v>עבודות קבלניות</v>
          </cell>
          <cell r="D167">
            <v>17000</v>
          </cell>
          <cell r="E167">
            <v>15850</v>
          </cell>
        </row>
        <row r="168">
          <cell r="A168">
            <v>1721000110</v>
          </cell>
          <cell r="B168">
            <v>2016</v>
          </cell>
          <cell r="C168" t="str">
            <v>משכרת עיר ללא אלימות</v>
          </cell>
          <cell r="D168">
            <v>150000</v>
          </cell>
          <cell r="E168">
            <v>79218.28</v>
          </cell>
        </row>
        <row r="169">
          <cell r="A169">
            <v>1721000760</v>
          </cell>
          <cell r="B169">
            <v>2016</v>
          </cell>
          <cell r="C169" t="str">
            <v>תחנת משטרה</v>
          </cell>
          <cell r="D169">
            <v>2800</v>
          </cell>
          <cell r="E169">
            <v>3269.06</v>
          </cell>
        </row>
        <row r="170">
          <cell r="A170">
            <v>1721000780</v>
          </cell>
          <cell r="B170">
            <v>2016</v>
          </cell>
          <cell r="C170" t="str">
            <v>עיר ללא אלימות פעילות</v>
          </cell>
          <cell r="D170">
            <v>191000</v>
          </cell>
          <cell r="E170">
            <v>2400</v>
          </cell>
        </row>
        <row r="171">
          <cell r="A171">
            <v>1722000110</v>
          </cell>
          <cell r="B171">
            <v>2016</v>
          </cell>
          <cell r="C171" t="str">
            <v>משכורת קב"ט</v>
          </cell>
          <cell r="D171">
            <v>136999.67000000001</v>
          </cell>
          <cell r="E171">
            <v>101492.45</v>
          </cell>
        </row>
        <row r="172">
          <cell r="A172">
            <v>1722000751</v>
          </cell>
          <cell r="B172">
            <v>2016</v>
          </cell>
          <cell r="C172" t="str">
            <v>שמירה ובטחון-קבלניות</v>
          </cell>
          <cell r="D172">
            <v>100000</v>
          </cell>
          <cell r="E172">
            <v>2775</v>
          </cell>
        </row>
        <row r="173">
          <cell r="A173">
            <v>1722100110</v>
          </cell>
          <cell r="B173">
            <v>2016</v>
          </cell>
          <cell r="C173" t="str">
            <v>שמירה שכר</v>
          </cell>
          <cell r="D173">
            <v>75000</v>
          </cell>
          <cell r="E173">
            <v>26646.799999999999</v>
          </cell>
        </row>
        <row r="174">
          <cell r="A174">
            <v>1723000810</v>
          </cell>
          <cell r="B174">
            <v>2016</v>
          </cell>
          <cell r="C174" t="str">
            <v>השתתפות בהג"א</v>
          </cell>
          <cell r="D174">
            <v>47400</v>
          </cell>
        </row>
        <row r="175">
          <cell r="A175">
            <v>1723100810</v>
          </cell>
          <cell r="B175">
            <v>2016</v>
          </cell>
          <cell r="C175" t="str">
            <v>השתתפות בהג""א מקומי"</v>
          </cell>
          <cell r="D175">
            <v>120000</v>
          </cell>
          <cell r="E175">
            <v>44976.44</v>
          </cell>
        </row>
        <row r="176">
          <cell r="A176">
            <v>1724000830</v>
          </cell>
          <cell r="B176">
            <v>2016</v>
          </cell>
          <cell r="C176" t="str">
            <v>כבוי אש השתתפות</v>
          </cell>
          <cell r="D176">
            <v>62300</v>
          </cell>
        </row>
        <row r="177">
          <cell r="A177">
            <v>1731000110</v>
          </cell>
          <cell r="B177">
            <v>2016</v>
          </cell>
          <cell r="C177" t="str">
            <v>משכורת מהנדס</v>
          </cell>
          <cell r="D177">
            <v>233000</v>
          </cell>
          <cell r="E177">
            <v>163432.04999999999</v>
          </cell>
        </row>
        <row r="178">
          <cell r="A178">
            <v>1731000540</v>
          </cell>
          <cell r="B178">
            <v>2016</v>
          </cell>
          <cell r="C178" t="str">
            <v>ציוד משרדי/מהנדס המועצה</v>
          </cell>
          <cell r="D178">
            <v>3600</v>
          </cell>
          <cell r="E178">
            <v>3309</v>
          </cell>
        </row>
        <row r="179">
          <cell r="A179">
            <v>1731000560</v>
          </cell>
          <cell r="B179">
            <v>2016</v>
          </cell>
          <cell r="C179" t="str">
            <v>אחר מהנדס הרשות</v>
          </cell>
          <cell r="D179">
            <v>2500</v>
          </cell>
          <cell r="E179">
            <v>532</v>
          </cell>
        </row>
        <row r="180">
          <cell r="A180">
            <v>1732000750</v>
          </cell>
          <cell r="B180">
            <v>2016</v>
          </cell>
          <cell r="C180" t="str">
            <v>תכנון עב קבלניות</v>
          </cell>
          <cell r="D180">
            <v>12700</v>
          </cell>
          <cell r="E180">
            <v>3006</v>
          </cell>
        </row>
        <row r="181">
          <cell r="A181">
            <v>1732001750</v>
          </cell>
          <cell r="B181">
            <v>2016</v>
          </cell>
          <cell r="C181" t="str">
            <v>עבודות קבלניות מח' הנדסה</v>
          </cell>
          <cell r="E181">
            <v>3450</v>
          </cell>
        </row>
        <row r="182">
          <cell r="A182">
            <v>1733000750</v>
          </cell>
          <cell r="B182">
            <v>2016</v>
          </cell>
          <cell r="C182" t="str">
            <v>ועדה לתכנון ובניה</v>
          </cell>
          <cell r="D182">
            <v>350000</v>
          </cell>
        </row>
        <row r="183">
          <cell r="A183">
            <v>1734001750</v>
          </cell>
          <cell r="B183">
            <v>2016</v>
          </cell>
          <cell r="C183" t="str">
            <v>הש דרכים חקלאיות</v>
          </cell>
          <cell r="D183">
            <v>4500</v>
          </cell>
        </row>
        <row r="184">
          <cell r="A184">
            <v>1742000110</v>
          </cell>
          <cell r="B184">
            <v>2016</v>
          </cell>
          <cell r="C184" t="str">
            <v>דרכים ומדרכות שכר</v>
          </cell>
          <cell r="D184">
            <v>346000</v>
          </cell>
          <cell r="E184">
            <v>241644.75</v>
          </cell>
        </row>
        <row r="185">
          <cell r="A185">
            <v>1742000442</v>
          </cell>
          <cell r="B185">
            <v>2016</v>
          </cell>
          <cell r="C185" t="str">
            <v>שפוי נזקים</v>
          </cell>
          <cell r="D185">
            <v>150000</v>
          </cell>
          <cell r="E185">
            <v>34578</v>
          </cell>
        </row>
        <row r="186">
          <cell r="A186">
            <v>1742000720</v>
          </cell>
          <cell r="B186">
            <v>2016</v>
          </cell>
          <cell r="C186" t="str">
            <v>חמרים</v>
          </cell>
          <cell r="D186">
            <v>11000</v>
          </cell>
          <cell r="E186">
            <v>8881</v>
          </cell>
        </row>
        <row r="187">
          <cell r="A187">
            <v>1742000740</v>
          </cell>
          <cell r="B187">
            <v>2016</v>
          </cell>
          <cell r="C187" t="str">
            <v>כלים מכשירים וציו</v>
          </cell>
          <cell r="D187">
            <v>8000</v>
          </cell>
          <cell r="E187">
            <v>528</v>
          </cell>
        </row>
        <row r="188">
          <cell r="A188">
            <v>1742000750</v>
          </cell>
          <cell r="B188">
            <v>2016</v>
          </cell>
          <cell r="C188" t="str">
            <v>עבודות קבלניות</v>
          </cell>
          <cell r="D188">
            <v>41000</v>
          </cell>
          <cell r="E188">
            <v>37829.199999999997</v>
          </cell>
        </row>
        <row r="189">
          <cell r="A189">
            <v>1742100110</v>
          </cell>
          <cell r="B189">
            <v>2016</v>
          </cell>
          <cell r="C189" t="str">
            <v>מנהל רכש</v>
          </cell>
          <cell r="D189">
            <v>45800</v>
          </cell>
          <cell r="E189">
            <v>30042.92</v>
          </cell>
        </row>
        <row r="190">
          <cell r="A190">
            <v>1743000430</v>
          </cell>
          <cell r="B190">
            <v>2016</v>
          </cell>
          <cell r="C190" t="str">
            <v>מאור רחובות</v>
          </cell>
          <cell r="D190">
            <v>257000</v>
          </cell>
          <cell r="E190">
            <v>181412.77</v>
          </cell>
        </row>
        <row r="191">
          <cell r="A191">
            <v>1743000750</v>
          </cell>
          <cell r="B191">
            <v>2016</v>
          </cell>
          <cell r="C191" t="str">
            <v>עבודות קבלניות</v>
          </cell>
          <cell r="D191">
            <v>7200</v>
          </cell>
          <cell r="E191">
            <v>2692</v>
          </cell>
        </row>
        <row r="192">
          <cell r="A192">
            <v>1744000740</v>
          </cell>
          <cell r="B192">
            <v>2016</v>
          </cell>
          <cell r="C192" t="str">
            <v>ציוד בטחות בדרכים</v>
          </cell>
          <cell r="D192">
            <v>0</v>
          </cell>
          <cell r="E192">
            <v>3463.2</v>
          </cell>
        </row>
        <row r="193">
          <cell r="A193">
            <v>1744100740</v>
          </cell>
          <cell r="B193">
            <v>2016</v>
          </cell>
          <cell r="C193" t="str">
            <v>בטיחות בדרכים</v>
          </cell>
          <cell r="D193">
            <v>13000</v>
          </cell>
          <cell r="E193">
            <v>4095</v>
          </cell>
        </row>
        <row r="194">
          <cell r="A194">
            <v>1745000830</v>
          </cell>
          <cell r="B194">
            <v>2016</v>
          </cell>
          <cell r="C194" t="str">
            <v>רשות ניקוז</v>
          </cell>
          <cell r="D194">
            <v>70000</v>
          </cell>
        </row>
        <row r="195">
          <cell r="A195">
            <v>1752000510</v>
          </cell>
          <cell r="B195">
            <v>2016</v>
          </cell>
          <cell r="C195" t="str">
            <v>חגיגות וטכסים</v>
          </cell>
          <cell r="D195">
            <v>135000</v>
          </cell>
          <cell r="E195">
            <v>120455</v>
          </cell>
        </row>
        <row r="196">
          <cell r="A196">
            <v>1767000440</v>
          </cell>
          <cell r="B196">
            <v>2016</v>
          </cell>
          <cell r="C196" t="str">
            <v>בטוחים</v>
          </cell>
          <cell r="D196">
            <v>275000</v>
          </cell>
          <cell r="E196">
            <v>18614</v>
          </cell>
        </row>
        <row r="197">
          <cell r="A197">
            <v>1769000110</v>
          </cell>
          <cell r="B197">
            <v>2016</v>
          </cell>
          <cell r="C197" t="str">
            <v>מתאם סמים ישובי</v>
          </cell>
          <cell r="D197">
            <v>0</v>
          </cell>
          <cell r="E197">
            <v>2903.18</v>
          </cell>
        </row>
        <row r="198">
          <cell r="A198">
            <v>1811000110</v>
          </cell>
          <cell r="B198">
            <v>2016</v>
          </cell>
          <cell r="C198" t="str">
            <v>חינוך מינהל</v>
          </cell>
          <cell r="D198">
            <v>324000</v>
          </cell>
          <cell r="E198">
            <v>240315.34</v>
          </cell>
        </row>
        <row r="199">
          <cell r="A199">
            <v>1811000430</v>
          </cell>
          <cell r="B199">
            <v>2016</v>
          </cell>
          <cell r="C199" t="str">
            <v>חינוך</v>
          </cell>
          <cell r="D199">
            <v>2700</v>
          </cell>
        </row>
        <row r="200">
          <cell r="A200">
            <v>1811000450</v>
          </cell>
          <cell r="B200">
            <v>2016</v>
          </cell>
          <cell r="C200" t="str">
            <v>רהוט משרדי</v>
          </cell>
          <cell r="D200">
            <v>7400</v>
          </cell>
        </row>
        <row r="201">
          <cell r="A201">
            <v>1811000540</v>
          </cell>
          <cell r="B201">
            <v>2016</v>
          </cell>
          <cell r="C201" t="str">
            <v>טלפון</v>
          </cell>
          <cell r="D201">
            <v>1500</v>
          </cell>
          <cell r="E201">
            <v>1252.6400000000001</v>
          </cell>
        </row>
        <row r="202">
          <cell r="A202">
            <v>1811000560</v>
          </cell>
          <cell r="B202">
            <v>2016</v>
          </cell>
          <cell r="C202" t="str">
            <v>הוצאות משרדיות</v>
          </cell>
          <cell r="D202">
            <v>5300</v>
          </cell>
          <cell r="E202">
            <v>921.51</v>
          </cell>
        </row>
        <row r="203">
          <cell r="A203">
            <v>1812200110</v>
          </cell>
          <cell r="B203">
            <v>2016</v>
          </cell>
          <cell r="C203" t="str">
            <v>מש. ע.גננות</v>
          </cell>
          <cell r="D203">
            <v>260000</v>
          </cell>
          <cell r="E203">
            <v>198965.56</v>
          </cell>
        </row>
        <row r="204">
          <cell r="A204">
            <v>1812200430</v>
          </cell>
          <cell r="B204">
            <v>2016</v>
          </cell>
          <cell r="C204" t="str">
            <v>חשמל ומים גנים</v>
          </cell>
          <cell r="D204">
            <v>6500</v>
          </cell>
          <cell r="E204">
            <v>6242.46</v>
          </cell>
        </row>
        <row r="205">
          <cell r="A205">
            <v>1812200450</v>
          </cell>
          <cell r="B205">
            <v>2016</v>
          </cell>
          <cell r="C205" t="str">
            <v>רהוט וציוד</v>
          </cell>
          <cell r="D205">
            <v>13000</v>
          </cell>
          <cell r="E205">
            <v>10500</v>
          </cell>
        </row>
        <row r="206">
          <cell r="A206">
            <v>1812200511</v>
          </cell>
          <cell r="B206">
            <v>2016</v>
          </cell>
          <cell r="C206" t="str">
            <v>חומרי נקיון גנים</v>
          </cell>
          <cell r="D206">
            <v>10000</v>
          </cell>
          <cell r="E206">
            <v>9917.5</v>
          </cell>
        </row>
        <row r="207">
          <cell r="A207">
            <v>1812200560</v>
          </cell>
          <cell r="B207">
            <v>2016</v>
          </cell>
          <cell r="C207" t="str">
            <v>מכשירי כתיבה</v>
          </cell>
          <cell r="D207">
            <v>28000</v>
          </cell>
          <cell r="E207">
            <v>27161</v>
          </cell>
        </row>
        <row r="208">
          <cell r="A208">
            <v>1812200750</v>
          </cell>
          <cell r="B208">
            <v>2016</v>
          </cell>
          <cell r="C208" t="str">
            <v>ע.קבלניות גני ילד</v>
          </cell>
          <cell r="D208">
            <v>39000</v>
          </cell>
          <cell r="E208">
            <v>15381.47</v>
          </cell>
        </row>
        <row r="209">
          <cell r="A209">
            <v>1812200870</v>
          </cell>
          <cell r="B209">
            <v>2016</v>
          </cell>
          <cell r="C209" t="str">
            <v>השת'בשכר גננות</v>
          </cell>
          <cell r="D209">
            <v>560000</v>
          </cell>
          <cell r="E209">
            <v>500652.12</v>
          </cell>
        </row>
        <row r="210">
          <cell r="A210">
            <v>1812300110</v>
          </cell>
          <cell r="B210">
            <v>2016</v>
          </cell>
          <cell r="C210" t="str">
            <v>שכר טרום חובה</v>
          </cell>
          <cell r="D210">
            <v>442000</v>
          </cell>
          <cell r="E210">
            <v>598613.43000000005</v>
          </cell>
        </row>
        <row r="211">
          <cell r="A211">
            <v>1812300410</v>
          </cell>
          <cell r="B211">
            <v>2016</v>
          </cell>
          <cell r="C211" t="str">
            <v>גנים</v>
          </cell>
          <cell r="D211">
            <v>10000</v>
          </cell>
          <cell r="E211">
            <v>3820.66</v>
          </cell>
        </row>
        <row r="212">
          <cell r="A212">
            <v>1812300440</v>
          </cell>
          <cell r="B212">
            <v>2016</v>
          </cell>
          <cell r="C212" t="str">
            <v>ביטוח תלמידים</v>
          </cell>
          <cell r="D212">
            <v>14600</v>
          </cell>
        </row>
        <row r="213">
          <cell r="A213">
            <v>1812300450</v>
          </cell>
          <cell r="B213">
            <v>2016</v>
          </cell>
          <cell r="C213" t="str">
            <v>רהוט ואחזקתו</v>
          </cell>
          <cell r="D213">
            <v>13000</v>
          </cell>
        </row>
        <row r="214">
          <cell r="A214">
            <v>1812300560</v>
          </cell>
          <cell r="B214">
            <v>2016</v>
          </cell>
          <cell r="C214" t="str">
            <v>מכשירי כתיבה</v>
          </cell>
          <cell r="D214">
            <v>20000</v>
          </cell>
          <cell r="E214">
            <v>12231</v>
          </cell>
        </row>
        <row r="215">
          <cell r="A215">
            <v>1812300740</v>
          </cell>
          <cell r="B215">
            <v>2016</v>
          </cell>
          <cell r="C215" t="str">
            <v>כלים</v>
          </cell>
          <cell r="D215">
            <v>0</v>
          </cell>
          <cell r="E215">
            <v>6000</v>
          </cell>
        </row>
        <row r="216">
          <cell r="A216">
            <v>1812300750</v>
          </cell>
          <cell r="B216">
            <v>2016</v>
          </cell>
          <cell r="C216" t="str">
            <v>ע.קבלניות גנים</v>
          </cell>
          <cell r="D216">
            <v>6500</v>
          </cell>
          <cell r="E216">
            <v>6299.73</v>
          </cell>
        </row>
        <row r="217">
          <cell r="A217">
            <v>1813200110</v>
          </cell>
          <cell r="B217">
            <v>2016</v>
          </cell>
          <cell r="C217" t="str">
            <v>ב"ס יסודיים שכר</v>
          </cell>
          <cell r="D217">
            <v>587000</v>
          </cell>
          <cell r="E217">
            <v>383323.85</v>
          </cell>
        </row>
        <row r="218">
          <cell r="A218">
            <v>1813200430</v>
          </cell>
          <cell r="B218">
            <v>2016</v>
          </cell>
          <cell r="C218" t="str">
            <v>מאור כח חימום מים</v>
          </cell>
          <cell r="D218">
            <v>35000</v>
          </cell>
          <cell r="E218">
            <v>30894.82</v>
          </cell>
        </row>
        <row r="219">
          <cell r="A219">
            <v>1813200440</v>
          </cell>
          <cell r="B219">
            <v>2016</v>
          </cell>
          <cell r="C219" t="str">
            <v>ביטוח תלמידים</v>
          </cell>
          <cell r="D219">
            <v>40000</v>
          </cell>
          <cell r="E219">
            <v>70550</v>
          </cell>
        </row>
        <row r="220">
          <cell r="A220">
            <v>1813200511</v>
          </cell>
          <cell r="B220">
            <v>2016</v>
          </cell>
          <cell r="C220" t="str">
            <v>כבוד ב"ס יסודי</v>
          </cell>
          <cell r="D220">
            <v>1000</v>
          </cell>
        </row>
        <row r="221">
          <cell r="A221">
            <v>1813200520</v>
          </cell>
          <cell r="B221">
            <v>2016</v>
          </cell>
          <cell r="C221" t="str">
            <v>אש" מעדונית בית ס</v>
          </cell>
          <cell r="D221">
            <v>1500</v>
          </cell>
          <cell r="E221">
            <v>309</v>
          </cell>
        </row>
        <row r="222">
          <cell r="A222">
            <v>1813200740</v>
          </cell>
          <cell r="B222">
            <v>2016</v>
          </cell>
          <cell r="C222" t="str">
            <v>כלים מכשירים וציו</v>
          </cell>
          <cell r="D222">
            <v>3000</v>
          </cell>
          <cell r="E222">
            <v>2062.1</v>
          </cell>
        </row>
        <row r="223">
          <cell r="A223">
            <v>1813200750</v>
          </cell>
          <cell r="B223">
            <v>2016</v>
          </cell>
          <cell r="C223" t="str">
            <v>עבודות קבלניות</v>
          </cell>
          <cell r="D223">
            <v>20000</v>
          </cell>
          <cell r="E223">
            <v>23694</v>
          </cell>
        </row>
        <row r="224">
          <cell r="A224">
            <v>1813200810</v>
          </cell>
          <cell r="B224">
            <v>2016</v>
          </cell>
          <cell r="C224" t="str">
            <v>ניהול עצמי</v>
          </cell>
          <cell r="D224">
            <v>330000</v>
          </cell>
          <cell r="E224">
            <v>138083</v>
          </cell>
        </row>
        <row r="225">
          <cell r="A225">
            <v>1813210750</v>
          </cell>
          <cell r="B225">
            <v>2016</v>
          </cell>
          <cell r="C225" t="str">
            <v>שפוץ ב"ס יסודי קי</v>
          </cell>
          <cell r="D225">
            <v>5000</v>
          </cell>
        </row>
        <row r="226">
          <cell r="A226">
            <v>1813300110</v>
          </cell>
          <cell r="B226">
            <v>2016</v>
          </cell>
          <cell r="C226" t="str">
            <v>משכ' חינוך מיוחד</v>
          </cell>
          <cell r="D226">
            <v>533000</v>
          </cell>
          <cell r="E226">
            <v>356462.65</v>
          </cell>
        </row>
        <row r="227">
          <cell r="A227">
            <v>1813300660</v>
          </cell>
          <cell r="B227">
            <v>2016</v>
          </cell>
          <cell r="C227" t="str">
            <v>פר"ח</v>
          </cell>
          <cell r="D227">
            <v>25000</v>
          </cell>
          <cell r="E227">
            <v>3057</v>
          </cell>
        </row>
        <row r="228">
          <cell r="A228">
            <v>1813300710</v>
          </cell>
          <cell r="B228">
            <v>2016</v>
          </cell>
          <cell r="C228" t="str">
            <v>הסעות חינוך מיוחד</v>
          </cell>
          <cell r="D228">
            <v>650000</v>
          </cell>
          <cell r="E228">
            <v>399436</v>
          </cell>
        </row>
        <row r="229">
          <cell r="A229">
            <v>1813300870</v>
          </cell>
          <cell r="B229">
            <v>2016</v>
          </cell>
          <cell r="C229" t="str">
            <v>אגרת תלמידי חוץ</v>
          </cell>
          <cell r="D229">
            <v>230000</v>
          </cell>
        </row>
        <row r="230">
          <cell r="A230">
            <v>1813310110</v>
          </cell>
          <cell r="B230">
            <v>2016</v>
          </cell>
          <cell r="C230" t="str">
            <v>סייעות כיתתיות משכ.</v>
          </cell>
          <cell r="D230">
            <v>418000</v>
          </cell>
          <cell r="E230">
            <v>207490.8</v>
          </cell>
        </row>
        <row r="231">
          <cell r="A231">
            <v>1813320110</v>
          </cell>
          <cell r="B231">
            <v>2016</v>
          </cell>
          <cell r="C231" t="str">
            <v>סיעות רפואיות</v>
          </cell>
          <cell r="D231">
            <v>131000</v>
          </cell>
          <cell r="E231">
            <v>56371.44</v>
          </cell>
        </row>
        <row r="232">
          <cell r="A232">
            <v>1813800850</v>
          </cell>
          <cell r="B232">
            <v>2016</v>
          </cell>
          <cell r="C232" t="str">
            <v>קיטנה קיץ</v>
          </cell>
          <cell r="D232">
            <v>140000</v>
          </cell>
          <cell r="E232">
            <v>21916.5</v>
          </cell>
        </row>
        <row r="233">
          <cell r="A233">
            <v>1814000110</v>
          </cell>
          <cell r="B233">
            <v>2016</v>
          </cell>
          <cell r="C233" t="str">
            <v>שכר חט"ב</v>
          </cell>
          <cell r="D233">
            <v>479000</v>
          </cell>
          <cell r="E233">
            <v>333217.37</v>
          </cell>
        </row>
        <row r="234">
          <cell r="A234">
            <v>1814000750</v>
          </cell>
          <cell r="B234">
            <v>2016</v>
          </cell>
          <cell r="C234" t="str">
            <v>ע.קבלניות</v>
          </cell>
          <cell r="D234">
            <v>19000</v>
          </cell>
          <cell r="E234">
            <v>1404</v>
          </cell>
        </row>
        <row r="235">
          <cell r="A235">
            <v>1814100750</v>
          </cell>
          <cell r="B235">
            <v>2016</v>
          </cell>
          <cell r="C235" t="str">
            <v>פעוליות תרבות</v>
          </cell>
          <cell r="D235">
            <v>150000</v>
          </cell>
          <cell r="E235">
            <v>85137.4</v>
          </cell>
        </row>
        <row r="236">
          <cell r="A236">
            <v>1815200110</v>
          </cell>
          <cell r="B236">
            <v>2016</v>
          </cell>
          <cell r="C236" t="str">
            <v>שכר מורים-תיכון</v>
          </cell>
          <cell r="D236">
            <v>7500000</v>
          </cell>
          <cell r="E236">
            <v>5266582.32</v>
          </cell>
        </row>
        <row r="237">
          <cell r="A237">
            <v>1815200420</v>
          </cell>
          <cell r="B237">
            <v>2016</v>
          </cell>
          <cell r="C237" t="str">
            <v>בתי"ס על יסודיים</v>
          </cell>
          <cell r="D237">
            <v>3000</v>
          </cell>
        </row>
        <row r="238">
          <cell r="A238">
            <v>1815200430</v>
          </cell>
          <cell r="B238">
            <v>2016</v>
          </cell>
          <cell r="C238" t="str">
            <v>בתי"ס על יסודיים</v>
          </cell>
          <cell r="D238">
            <v>53000</v>
          </cell>
          <cell r="E238">
            <v>23481.599999999999</v>
          </cell>
        </row>
        <row r="239">
          <cell r="A239">
            <v>1815200432</v>
          </cell>
          <cell r="B239">
            <v>2016</v>
          </cell>
          <cell r="C239" t="str">
            <v>חשמל מים וחומרי נ</v>
          </cell>
          <cell r="D239">
            <v>105000</v>
          </cell>
          <cell r="E239">
            <v>63246.99</v>
          </cell>
        </row>
        <row r="240">
          <cell r="A240">
            <v>1815200440</v>
          </cell>
          <cell r="B240">
            <v>2016</v>
          </cell>
          <cell r="C240" t="str">
            <v>בטוח תלמידים</v>
          </cell>
          <cell r="D240">
            <v>33500</v>
          </cell>
        </row>
        <row r="241">
          <cell r="A241">
            <v>1815200450</v>
          </cell>
          <cell r="B241">
            <v>2016</v>
          </cell>
          <cell r="C241" t="str">
            <v>בתי"ס על יסודיים</v>
          </cell>
          <cell r="D241">
            <v>48000</v>
          </cell>
          <cell r="E241">
            <v>43090</v>
          </cell>
        </row>
        <row r="242">
          <cell r="A242">
            <v>1815200511</v>
          </cell>
          <cell r="B242">
            <v>2016</v>
          </cell>
          <cell r="C242" t="str">
            <v>כבודים</v>
          </cell>
          <cell r="D242">
            <v>1500</v>
          </cell>
          <cell r="E242">
            <v>2700</v>
          </cell>
        </row>
        <row r="243">
          <cell r="A243">
            <v>1815200520</v>
          </cell>
          <cell r="B243">
            <v>2016</v>
          </cell>
          <cell r="C243" t="str">
            <v>ספרים ועתונים</v>
          </cell>
          <cell r="D243">
            <v>7000</v>
          </cell>
        </row>
        <row r="244">
          <cell r="A244">
            <v>1815200540</v>
          </cell>
          <cell r="B244">
            <v>2016</v>
          </cell>
          <cell r="C244" t="str">
            <v>בתי"ס על יסודיים</v>
          </cell>
          <cell r="D244">
            <v>3000</v>
          </cell>
        </row>
        <row r="245">
          <cell r="A245">
            <v>1815200550</v>
          </cell>
          <cell r="B245">
            <v>2016</v>
          </cell>
          <cell r="C245" t="str">
            <v>פרסום</v>
          </cell>
          <cell r="D245">
            <v>1000</v>
          </cell>
        </row>
        <row r="246">
          <cell r="A246">
            <v>1815200560</v>
          </cell>
          <cell r="B246">
            <v>2016</v>
          </cell>
          <cell r="C246" t="str">
            <v>בתי"ס על יסודיים</v>
          </cell>
          <cell r="D246">
            <v>51600</v>
          </cell>
          <cell r="E246">
            <v>43394.09</v>
          </cell>
        </row>
        <row r="247">
          <cell r="A247">
            <v>1815200720</v>
          </cell>
          <cell r="B247">
            <v>2016</v>
          </cell>
          <cell r="C247" t="str">
            <v>חומרים</v>
          </cell>
          <cell r="D247">
            <v>45000</v>
          </cell>
          <cell r="E247">
            <v>44496.89</v>
          </cell>
        </row>
        <row r="248">
          <cell r="A248">
            <v>1815200740</v>
          </cell>
          <cell r="B248">
            <v>2016</v>
          </cell>
          <cell r="C248" t="str">
            <v>בתי"ס על יסודיים</v>
          </cell>
          <cell r="D248">
            <v>12000</v>
          </cell>
        </row>
        <row r="249">
          <cell r="A249">
            <v>1815200750</v>
          </cell>
          <cell r="B249">
            <v>2016</v>
          </cell>
          <cell r="C249" t="str">
            <v>הוצאות ב"ס על יסודי</v>
          </cell>
          <cell r="D249">
            <v>4000</v>
          </cell>
          <cell r="E249">
            <v>10179</v>
          </cell>
        </row>
        <row r="250">
          <cell r="A250">
            <v>1815200780</v>
          </cell>
          <cell r="B250">
            <v>2016</v>
          </cell>
          <cell r="C250" t="str">
            <v>הוצאות אחרות</v>
          </cell>
          <cell r="D250">
            <v>180000</v>
          </cell>
          <cell r="E250">
            <v>117798.64</v>
          </cell>
        </row>
        <row r="251">
          <cell r="A251">
            <v>1815210110</v>
          </cell>
          <cell r="B251">
            <v>2016</v>
          </cell>
          <cell r="C251" t="str">
            <v>מינהל תיכון-שכר</v>
          </cell>
          <cell r="D251">
            <v>1198000</v>
          </cell>
          <cell r="E251">
            <v>911695.99</v>
          </cell>
        </row>
        <row r="252">
          <cell r="A252">
            <v>1817300110</v>
          </cell>
          <cell r="B252">
            <v>2016</v>
          </cell>
          <cell r="C252" t="str">
            <v>שכר פסיכולוגים</v>
          </cell>
          <cell r="D252">
            <v>225000</v>
          </cell>
          <cell r="E252">
            <v>161651.98000000001</v>
          </cell>
        </row>
        <row r="253">
          <cell r="A253">
            <v>1817300560</v>
          </cell>
          <cell r="B253">
            <v>2016</v>
          </cell>
          <cell r="C253" t="str">
            <v>משרדיות פסיכולוגים</v>
          </cell>
          <cell r="D253">
            <v>20000</v>
          </cell>
          <cell r="E253">
            <v>7410.78</v>
          </cell>
        </row>
        <row r="254">
          <cell r="A254">
            <v>1817600110</v>
          </cell>
          <cell r="B254">
            <v>2016</v>
          </cell>
          <cell r="C254" t="str">
            <v>מועדוניות-שכר</v>
          </cell>
          <cell r="D254">
            <v>194000</v>
          </cell>
          <cell r="E254">
            <v>134107.29</v>
          </cell>
        </row>
        <row r="255">
          <cell r="A255">
            <v>1817600210</v>
          </cell>
          <cell r="B255">
            <v>2016</v>
          </cell>
          <cell r="C255" t="str">
            <v>מנ,ע</v>
          </cell>
          <cell r="D255">
            <v>10000</v>
          </cell>
        </row>
        <row r="256">
          <cell r="A256">
            <v>1817600520</v>
          </cell>
          <cell r="B256">
            <v>2016</v>
          </cell>
          <cell r="C256" t="str">
            <v>אש'ל מעדונית</v>
          </cell>
          <cell r="D256">
            <v>19000</v>
          </cell>
          <cell r="E256">
            <v>18972.71</v>
          </cell>
        </row>
        <row r="257">
          <cell r="A257">
            <v>1817600560</v>
          </cell>
          <cell r="B257">
            <v>2016</v>
          </cell>
          <cell r="C257" t="str">
            <v>מכשירי כתיבה</v>
          </cell>
          <cell r="D257">
            <v>10000</v>
          </cell>
          <cell r="E257">
            <v>6250</v>
          </cell>
        </row>
        <row r="258">
          <cell r="A258">
            <v>1817600740</v>
          </cell>
          <cell r="B258">
            <v>2016</v>
          </cell>
          <cell r="C258" t="str">
            <v>מרכז טיפולי</v>
          </cell>
          <cell r="D258">
            <v>5300</v>
          </cell>
          <cell r="E258">
            <v>4000</v>
          </cell>
        </row>
        <row r="259">
          <cell r="A259">
            <v>1817700110</v>
          </cell>
          <cell r="B259">
            <v>2016</v>
          </cell>
          <cell r="C259" t="str">
            <v>שכר קב"ס</v>
          </cell>
          <cell r="D259">
            <v>193000</v>
          </cell>
          <cell r="E259">
            <v>137686.26</v>
          </cell>
        </row>
        <row r="260">
          <cell r="A260">
            <v>1817900540</v>
          </cell>
          <cell r="B260">
            <v>2016</v>
          </cell>
          <cell r="C260" t="str">
            <v>בולים וטלפון</v>
          </cell>
          <cell r="D260">
            <v>2500</v>
          </cell>
          <cell r="E260">
            <v>2188.19</v>
          </cell>
        </row>
        <row r="261">
          <cell r="A261">
            <v>1817900750</v>
          </cell>
          <cell r="B261">
            <v>2016</v>
          </cell>
          <cell r="C261" t="str">
            <v>ע.קבלניות</v>
          </cell>
          <cell r="D261">
            <v>0</v>
          </cell>
          <cell r="E261">
            <v>340</v>
          </cell>
        </row>
        <row r="262">
          <cell r="A262">
            <v>1819000750</v>
          </cell>
          <cell r="B262">
            <v>2016</v>
          </cell>
          <cell r="C262" t="str">
            <v>אבטחת מוסדות חינוך</v>
          </cell>
          <cell r="D262">
            <v>310000</v>
          </cell>
          <cell r="E262">
            <v>215785.3</v>
          </cell>
        </row>
        <row r="263">
          <cell r="A263">
            <v>1819000850</v>
          </cell>
          <cell r="B263">
            <v>2016</v>
          </cell>
          <cell r="C263" t="str">
            <v>הרשאות מיוחדות חינוך</v>
          </cell>
          <cell r="D263">
            <v>50000</v>
          </cell>
          <cell r="E263">
            <v>49998</v>
          </cell>
        </row>
        <row r="264">
          <cell r="A264">
            <v>1823000110</v>
          </cell>
          <cell r="B264">
            <v>2016</v>
          </cell>
          <cell r="C264" t="str">
            <v>שכר ספריה</v>
          </cell>
          <cell r="D264">
            <v>452000</v>
          </cell>
          <cell r="E264">
            <v>317238.09000000003</v>
          </cell>
        </row>
        <row r="265">
          <cell r="A265">
            <v>1823000420</v>
          </cell>
          <cell r="B265">
            <v>2016</v>
          </cell>
          <cell r="C265" t="str">
            <v>חומרי נקיון</v>
          </cell>
          <cell r="D265">
            <v>1000</v>
          </cell>
          <cell r="E265">
            <v>427</v>
          </cell>
        </row>
        <row r="266">
          <cell r="A266">
            <v>1823000430</v>
          </cell>
          <cell r="B266">
            <v>2016</v>
          </cell>
          <cell r="C266" t="str">
            <v>חשמל מים חומרי נק</v>
          </cell>
          <cell r="D266">
            <v>26000</v>
          </cell>
          <cell r="E266">
            <v>28280.91</v>
          </cell>
        </row>
        <row r="267">
          <cell r="A267">
            <v>1823000540</v>
          </cell>
          <cell r="B267">
            <v>2016</v>
          </cell>
          <cell r="C267" t="str">
            <v>בולים טלפון ומברק</v>
          </cell>
          <cell r="D267">
            <v>3000</v>
          </cell>
          <cell r="E267">
            <v>2003.44</v>
          </cell>
        </row>
        <row r="268">
          <cell r="A268">
            <v>1823000560</v>
          </cell>
          <cell r="B268">
            <v>2016</v>
          </cell>
          <cell r="C268" t="str">
            <v>ספריות עירוניות ה</v>
          </cell>
          <cell r="D268">
            <v>13000</v>
          </cell>
          <cell r="E268">
            <v>7098.02</v>
          </cell>
        </row>
        <row r="269">
          <cell r="A269">
            <v>1828100110</v>
          </cell>
          <cell r="B269">
            <v>2016</v>
          </cell>
          <cell r="C269" t="str">
            <v>שכר בית-נער</v>
          </cell>
          <cell r="D269">
            <v>180000</v>
          </cell>
          <cell r="E269">
            <v>81405.69</v>
          </cell>
        </row>
        <row r="270">
          <cell r="A270">
            <v>1828200870</v>
          </cell>
          <cell r="B270">
            <v>2016</v>
          </cell>
          <cell r="C270" t="str">
            <v>פעוליות בנוער</v>
          </cell>
          <cell r="D270">
            <v>80000</v>
          </cell>
          <cell r="E270">
            <v>78520</v>
          </cell>
        </row>
        <row r="271">
          <cell r="A271">
            <v>1828400810</v>
          </cell>
          <cell r="B271">
            <v>2016</v>
          </cell>
          <cell r="C271" t="str">
            <v>הוצאות  קיטנה</v>
          </cell>
          <cell r="D271">
            <v>96000</v>
          </cell>
          <cell r="E271">
            <v>58664.84</v>
          </cell>
        </row>
        <row r="272">
          <cell r="A272">
            <v>1828421110</v>
          </cell>
          <cell r="B272">
            <v>2016</v>
          </cell>
          <cell r="C272" t="str">
            <v>משכ' מדריכי קיטנה א+ב</v>
          </cell>
          <cell r="D272">
            <v>123000</v>
          </cell>
          <cell r="E272">
            <v>109978.69</v>
          </cell>
        </row>
        <row r="273">
          <cell r="A273">
            <v>1829200110</v>
          </cell>
          <cell r="B273">
            <v>2016</v>
          </cell>
          <cell r="C273" t="str">
            <v>משכ. ספורט</v>
          </cell>
          <cell r="D273">
            <v>207000</v>
          </cell>
          <cell r="E273">
            <v>182657.83</v>
          </cell>
        </row>
        <row r="274">
          <cell r="A274">
            <v>1829200432</v>
          </cell>
          <cell r="B274">
            <v>2016</v>
          </cell>
          <cell r="C274" t="str">
            <v>חשמל מים וחומרי נקיון</v>
          </cell>
          <cell r="D274">
            <v>119000</v>
          </cell>
          <cell r="E274">
            <v>76846.600000000006</v>
          </cell>
        </row>
        <row r="275">
          <cell r="A275">
            <v>1829200710</v>
          </cell>
          <cell r="B275">
            <v>2016</v>
          </cell>
          <cell r="C275" t="str">
            <v>הסעות חוגי ספורט</v>
          </cell>
          <cell r="D275">
            <v>2000</v>
          </cell>
        </row>
        <row r="276">
          <cell r="A276">
            <v>1829200740</v>
          </cell>
          <cell r="B276">
            <v>2016</v>
          </cell>
          <cell r="C276" t="str">
            <v>סל ספורט</v>
          </cell>
          <cell r="D276">
            <v>150000</v>
          </cell>
          <cell r="E276">
            <v>36895.21</v>
          </cell>
        </row>
        <row r="277">
          <cell r="A277">
            <v>1829200750</v>
          </cell>
          <cell r="B277">
            <v>2016</v>
          </cell>
          <cell r="C277" t="str">
            <v>ע.קבלניות מגרש ספ</v>
          </cell>
          <cell r="D277">
            <v>3000</v>
          </cell>
          <cell r="E277">
            <v>11171</v>
          </cell>
        </row>
        <row r="278">
          <cell r="A278">
            <v>1829200810</v>
          </cell>
          <cell r="B278">
            <v>2016</v>
          </cell>
          <cell r="C278" t="str">
            <v>תמיכות ספורט</v>
          </cell>
          <cell r="D278">
            <v>120000</v>
          </cell>
          <cell r="E278">
            <v>50400</v>
          </cell>
        </row>
        <row r="279">
          <cell r="A279">
            <v>1832400110</v>
          </cell>
          <cell r="B279">
            <v>2016</v>
          </cell>
          <cell r="C279" t="str">
            <v>טיפת חלב</v>
          </cell>
          <cell r="D279">
            <v>113000</v>
          </cell>
          <cell r="E279">
            <v>79928.39</v>
          </cell>
        </row>
        <row r="280">
          <cell r="A280">
            <v>1832400430</v>
          </cell>
          <cell r="B280">
            <v>2016</v>
          </cell>
          <cell r="C280" t="str">
            <v>מאור כח חימום מים</v>
          </cell>
          <cell r="D280">
            <v>5000</v>
          </cell>
          <cell r="E280">
            <v>1946.45</v>
          </cell>
        </row>
        <row r="281">
          <cell r="A281">
            <v>1832400540</v>
          </cell>
          <cell r="B281">
            <v>2016</v>
          </cell>
          <cell r="C281" t="str">
            <v>דאר טלפון</v>
          </cell>
          <cell r="D281">
            <v>2000</v>
          </cell>
          <cell r="E281">
            <v>793.91</v>
          </cell>
        </row>
        <row r="282">
          <cell r="A282">
            <v>1832400720</v>
          </cell>
          <cell r="B282">
            <v>2016</v>
          </cell>
          <cell r="C282" t="str">
            <v>חומרים</v>
          </cell>
          <cell r="D282">
            <v>2000</v>
          </cell>
          <cell r="E282">
            <v>797.91</v>
          </cell>
        </row>
        <row r="283">
          <cell r="A283">
            <v>1841000110</v>
          </cell>
          <cell r="B283">
            <v>2016</v>
          </cell>
          <cell r="C283" t="str">
            <v>שכר רווחה</v>
          </cell>
          <cell r="D283">
            <v>1199000</v>
          </cell>
          <cell r="E283">
            <v>833900.81</v>
          </cell>
        </row>
        <row r="284">
          <cell r="A284">
            <v>1841000430</v>
          </cell>
          <cell r="B284">
            <v>2016</v>
          </cell>
          <cell r="C284" t="str">
            <v>חשמל מים</v>
          </cell>
          <cell r="D284">
            <v>5000</v>
          </cell>
          <cell r="E284">
            <v>5018.28</v>
          </cell>
        </row>
        <row r="285">
          <cell r="A285">
            <v>1841000470</v>
          </cell>
          <cell r="B285">
            <v>2016</v>
          </cell>
          <cell r="C285" t="str">
            <v>מכונת משרד והחזקת</v>
          </cell>
          <cell r="D285">
            <v>1000</v>
          </cell>
        </row>
        <row r="286">
          <cell r="A286">
            <v>1841000511</v>
          </cell>
          <cell r="B286">
            <v>2016</v>
          </cell>
          <cell r="C286" t="str">
            <v>כבודים</v>
          </cell>
          <cell r="D286">
            <v>500</v>
          </cell>
        </row>
        <row r="287">
          <cell r="A287">
            <v>1841000540</v>
          </cell>
          <cell r="B287">
            <v>2016</v>
          </cell>
          <cell r="C287" t="str">
            <v>דאר וטלפון</v>
          </cell>
          <cell r="D287">
            <v>2000</v>
          </cell>
          <cell r="E287">
            <v>1313.88</v>
          </cell>
        </row>
        <row r="288">
          <cell r="A288">
            <v>1841000560</v>
          </cell>
          <cell r="B288">
            <v>2016</v>
          </cell>
          <cell r="C288" t="str">
            <v>מינהל הרווחה הוצא</v>
          </cell>
          <cell r="D288">
            <v>800</v>
          </cell>
        </row>
        <row r="289">
          <cell r="A289">
            <v>1842200840</v>
          </cell>
          <cell r="B289">
            <v>2016</v>
          </cell>
          <cell r="C289" t="str">
            <v>משפחות במצוקה</v>
          </cell>
          <cell r="D289">
            <v>17000</v>
          </cell>
          <cell r="E289">
            <v>27533</v>
          </cell>
        </row>
        <row r="290">
          <cell r="A290">
            <v>1842200841</v>
          </cell>
          <cell r="B290">
            <v>2016</v>
          </cell>
          <cell r="C290" t="str">
            <v>מקלטים לנשים מוכו</v>
          </cell>
          <cell r="E290">
            <v>8650</v>
          </cell>
        </row>
        <row r="291">
          <cell r="A291">
            <v>1842200842</v>
          </cell>
          <cell r="B291">
            <v>2016</v>
          </cell>
          <cell r="C291" t="str">
            <v>סיוע למשפחות עם י</v>
          </cell>
          <cell r="D291">
            <v>13000</v>
          </cell>
          <cell r="E291">
            <v>6339</v>
          </cell>
        </row>
        <row r="292">
          <cell r="A292">
            <v>1842400820</v>
          </cell>
          <cell r="B292">
            <v>2016</v>
          </cell>
          <cell r="C292" t="str">
            <v>מרכזי טיפול באלימות</v>
          </cell>
          <cell r="D292">
            <v>17000</v>
          </cell>
          <cell r="E292">
            <v>44511</v>
          </cell>
        </row>
        <row r="293">
          <cell r="A293">
            <v>1842400830</v>
          </cell>
          <cell r="B293">
            <v>2016</v>
          </cell>
          <cell r="C293" t="str">
            <v>תחנות לטיפול במשפחה</v>
          </cell>
          <cell r="E293">
            <v>38193</v>
          </cell>
        </row>
        <row r="294">
          <cell r="A294">
            <v>1843500841</v>
          </cell>
          <cell r="B294">
            <v>2016</v>
          </cell>
          <cell r="C294" t="str">
            <v>טפול בילד בקהילה</v>
          </cell>
          <cell r="D294">
            <v>330000</v>
          </cell>
          <cell r="E294">
            <v>296345</v>
          </cell>
        </row>
        <row r="295">
          <cell r="A295">
            <v>1843510820</v>
          </cell>
          <cell r="B295">
            <v>2016</v>
          </cell>
          <cell r="C295" t="str">
            <v>יצירת קשר הורים ילדים</v>
          </cell>
          <cell r="D295">
            <v>3000</v>
          </cell>
          <cell r="E295">
            <v>554</v>
          </cell>
        </row>
        <row r="296">
          <cell r="A296">
            <v>1843800840</v>
          </cell>
          <cell r="B296">
            <v>2016</v>
          </cell>
          <cell r="C296" t="str">
            <v>אחזקת ילדים בפנמי</v>
          </cell>
          <cell r="D296">
            <v>517000</v>
          </cell>
          <cell r="E296">
            <v>433104</v>
          </cell>
        </row>
        <row r="297">
          <cell r="A297">
            <v>1843900840</v>
          </cell>
          <cell r="B297">
            <v>2016</v>
          </cell>
          <cell r="C297" t="str">
            <v>ילדים במעות יום</v>
          </cell>
          <cell r="D297">
            <v>389000</v>
          </cell>
          <cell r="E297">
            <v>273069</v>
          </cell>
        </row>
        <row r="298">
          <cell r="A298">
            <v>1843910840</v>
          </cell>
          <cell r="B298">
            <v>2016</v>
          </cell>
          <cell r="C298" t="str">
            <v>תוכנית לאומית לילדים ונוער בסיכון</v>
          </cell>
          <cell r="D298">
            <v>319000</v>
          </cell>
          <cell r="E298">
            <v>104263</v>
          </cell>
        </row>
        <row r="299">
          <cell r="A299">
            <v>1844400840</v>
          </cell>
          <cell r="B299">
            <v>2016</v>
          </cell>
          <cell r="C299" t="str">
            <v>טפול בזקן בקהילה</v>
          </cell>
          <cell r="D299">
            <v>52500</v>
          </cell>
          <cell r="E299">
            <v>7999</v>
          </cell>
        </row>
        <row r="300">
          <cell r="A300">
            <v>1844500430</v>
          </cell>
          <cell r="B300">
            <v>2016</v>
          </cell>
          <cell r="C300" t="str">
            <v>חשמל מעדון קשישים</v>
          </cell>
          <cell r="D300">
            <v>20000</v>
          </cell>
          <cell r="E300">
            <v>23551.98</v>
          </cell>
        </row>
        <row r="301">
          <cell r="A301">
            <v>1844500820</v>
          </cell>
          <cell r="B301">
            <v>2016</v>
          </cell>
          <cell r="C301" t="str">
            <v>השת' מועצה בקשיש</v>
          </cell>
          <cell r="D301">
            <v>14000</v>
          </cell>
          <cell r="E301">
            <v>3057.82</v>
          </cell>
        </row>
        <row r="302">
          <cell r="A302">
            <v>1844500840</v>
          </cell>
          <cell r="B302">
            <v>2016</v>
          </cell>
          <cell r="C302" t="str">
            <v>מועדון מועשר</v>
          </cell>
          <cell r="D302">
            <v>180000</v>
          </cell>
          <cell r="E302">
            <v>33460</v>
          </cell>
        </row>
        <row r="303">
          <cell r="A303">
            <v>1845100840</v>
          </cell>
          <cell r="B303">
            <v>2016</v>
          </cell>
          <cell r="C303" t="str">
            <v>סידור מפגרים במוס</v>
          </cell>
          <cell r="D303">
            <v>1449000</v>
          </cell>
          <cell r="E303">
            <v>1169150</v>
          </cell>
        </row>
        <row r="304">
          <cell r="A304">
            <v>1845110820</v>
          </cell>
          <cell r="B304">
            <v>2016</v>
          </cell>
          <cell r="C304" t="str">
            <v>טיפול בהורים ובילדיה</v>
          </cell>
          <cell r="D304">
            <v>7000</v>
          </cell>
          <cell r="E304">
            <v>5000</v>
          </cell>
        </row>
        <row r="305">
          <cell r="A305">
            <v>1845200110</v>
          </cell>
          <cell r="B305">
            <v>2016</v>
          </cell>
          <cell r="C305" t="str">
            <v>שכר מע"ש-ים</v>
          </cell>
          <cell r="D305">
            <v>662000</v>
          </cell>
          <cell r="E305">
            <v>439590.12</v>
          </cell>
        </row>
        <row r="306">
          <cell r="A306">
            <v>1845200432</v>
          </cell>
          <cell r="B306">
            <v>2016</v>
          </cell>
          <cell r="C306" t="str">
            <v>חשמל ומים וחומרי</v>
          </cell>
          <cell r="D306">
            <v>5000</v>
          </cell>
          <cell r="E306">
            <v>6862</v>
          </cell>
        </row>
        <row r="307">
          <cell r="A307">
            <v>1845200520</v>
          </cell>
          <cell r="B307">
            <v>2016</v>
          </cell>
          <cell r="C307" t="str">
            <v>אשל</v>
          </cell>
          <cell r="D307">
            <v>7500</v>
          </cell>
          <cell r="E307">
            <v>8384</v>
          </cell>
        </row>
        <row r="308">
          <cell r="A308">
            <v>1845200750</v>
          </cell>
          <cell r="B308">
            <v>2016</v>
          </cell>
          <cell r="C308" t="str">
            <v>ע.קבלניות מע"ש</v>
          </cell>
          <cell r="D308">
            <v>8000</v>
          </cell>
          <cell r="E308">
            <v>5804</v>
          </cell>
        </row>
        <row r="309">
          <cell r="A309">
            <v>1845200840</v>
          </cell>
          <cell r="B309">
            <v>2016</v>
          </cell>
          <cell r="C309" t="str">
            <v>מפגרים במעון טיפו</v>
          </cell>
          <cell r="D309">
            <v>24500</v>
          </cell>
          <cell r="E309">
            <v>153813</v>
          </cell>
        </row>
        <row r="310">
          <cell r="A310">
            <v>1845200841</v>
          </cell>
          <cell r="B310">
            <v>2016</v>
          </cell>
          <cell r="C310" t="str">
            <v>מעשי"ם</v>
          </cell>
          <cell r="D310">
            <v>95000</v>
          </cell>
          <cell r="E310">
            <v>60219</v>
          </cell>
        </row>
        <row r="311">
          <cell r="A311">
            <v>1845300842</v>
          </cell>
          <cell r="B311">
            <v>2016</v>
          </cell>
          <cell r="C311" t="str">
            <v>הסעות למעון יום למפגר</v>
          </cell>
          <cell r="D311">
            <v>29000</v>
          </cell>
          <cell r="E311">
            <v>25576</v>
          </cell>
        </row>
        <row r="312">
          <cell r="A312">
            <v>1846300820</v>
          </cell>
          <cell r="B312">
            <v>2016</v>
          </cell>
          <cell r="C312" t="str">
            <v>הדרכת עוור ובני ביתו</v>
          </cell>
          <cell r="D312">
            <v>6000</v>
          </cell>
        </row>
        <row r="313">
          <cell r="A313">
            <v>1846400840</v>
          </cell>
          <cell r="B313">
            <v>2016</v>
          </cell>
          <cell r="C313" t="str">
            <v>מפעלי שיקום לעיוו</v>
          </cell>
          <cell r="D313">
            <v>9000</v>
          </cell>
        </row>
        <row r="314">
          <cell r="A314">
            <v>1846600840</v>
          </cell>
          <cell r="B314">
            <v>2016</v>
          </cell>
          <cell r="C314" t="str">
            <v>תעסוקה מוגנת למוג</v>
          </cell>
          <cell r="D314">
            <v>30000</v>
          </cell>
          <cell r="E314">
            <v>9581</v>
          </cell>
        </row>
        <row r="315">
          <cell r="A315">
            <v>1846700840</v>
          </cell>
          <cell r="B315">
            <v>2016</v>
          </cell>
          <cell r="C315" t="str">
            <v>תעסוקה נתמכת לנכי</v>
          </cell>
          <cell r="E315">
            <v>14088</v>
          </cell>
        </row>
        <row r="316">
          <cell r="A316">
            <v>1846800840</v>
          </cell>
          <cell r="B316">
            <v>2016</v>
          </cell>
          <cell r="C316" t="str">
            <v>תעסוקה מוגנת למוג</v>
          </cell>
          <cell r="E316">
            <v>1373</v>
          </cell>
        </row>
        <row r="317">
          <cell r="A317">
            <v>1847300842</v>
          </cell>
          <cell r="B317">
            <v>2016</v>
          </cell>
          <cell r="C317" t="str">
            <v>התמכרוית - מבוגרים</v>
          </cell>
          <cell r="D317">
            <v>0</v>
          </cell>
          <cell r="E317">
            <v>2247</v>
          </cell>
        </row>
        <row r="318">
          <cell r="A318">
            <v>1980000980</v>
          </cell>
          <cell r="B318">
            <v>2016</v>
          </cell>
          <cell r="C318" t="str">
            <v>תביעות צד ג</v>
          </cell>
          <cell r="D318">
            <v>0</v>
          </cell>
          <cell r="E318">
            <v>53049</v>
          </cell>
        </row>
        <row r="319">
          <cell r="A319">
            <v>1991000310</v>
          </cell>
          <cell r="B319">
            <v>2016</v>
          </cell>
          <cell r="C319" t="str">
            <v>פנסיה עובדים</v>
          </cell>
          <cell r="D319">
            <v>3796000</v>
          </cell>
          <cell r="E319">
            <v>2156074.34</v>
          </cell>
        </row>
        <row r="320">
          <cell r="A320">
            <v>1991100310</v>
          </cell>
          <cell r="B320">
            <v>2016</v>
          </cell>
          <cell r="C320" t="str">
            <v>פנסיונרים</v>
          </cell>
          <cell r="D320">
            <v>863000</v>
          </cell>
          <cell r="E320">
            <v>575405.92000000004</v>
          </cell>
        </row>
        <row r="321">
          <cell r="A321">
            <v>1993000980</v>
          </cell>
          <cell r="B321">
            <v>2016</v>
          </cell>
          <cell r="C321" t="str">
            <v>הוצאות ש.ק.</v>
          </cell>
          <cell r="D321">
            <v>0</v>
          </cell>
          <cell r="E321">
            <v>54434.83</v>
          </cell>
        </row>
        <row r="322">
          <cell r="A322">
            <v>1994000960</v>
          </cell>
          <cell r="B322">
            <v>2016</v>
          </cell>
          <cell r="C322" t="str">
            <v>הוצאות מותנות</v>
          </cell>
          <cell r="D322">
            <v>1200000</v>
          </cell>
        </row>
        <row r="323">
          <cell r="A323">
            <v>1995000860</v>
          </cell>
          <cell r="B323">
            <v>2016</v>
          </cell>
          <cell r="C323" t="str">
            <v>הנחות ארנונה חומר</v>
          </cell>
          <cell r="D323">
            <v>5500000.3300000001</v>
          </cell>
        </row>
        <row r="324">
          <cell r="A324">
            <v>1999000990</v>
          </cell>
          <cell r="B324">
            <v>2016</v>
          </cell>
          <cell r="C324" t="str">
            <v>כיסוי גרעונות</v>
          </cell>
          <cell r="D324">
            <v>0</v>
          </cell>
          <cell r="E324">
            <v>6031586.6699999999</v>
          </cell>
        </row>
      </sheetData>
      <sheetData sheetId="11"/>
      <sheetData sheetId="12">
        <row r="1">
          <cell r="A1" t="str">
            <v>חשבון</v>
          </cell>
          <cell r="B1" t="str">
            <v>שם חשבון</v>
          </cell>
          <cell r="C1" t="str">
            <v>תקציב יחסי</v>
          </cell>
          <cell r="D1" t="str">
            <v>ביצוע יחסי</v>
          </cell>
          <cell r="E1" t="str">
            <v>שריון יחסי</v>
          </cell>
          <cell r="F1" t="str">
            <v>ביצוע + שריון יחסי</v>
          </cell>
          <cell r="G1" t="str">
            <v>יתרת תקציב יחסי</v>
          </cell>
          <cell r="H1" t="str">
            <v>אחוז ביצוע יחסי</v>
          </cell>
          <cell r="I1" t="str">
            <v>תקציב שנתי</v>
          </cell>
          <cell r="J1" t="str">
            <v>ביצוע  שנתי</v>
          </cell>
        </row>
        <row r="2">
          <cell r="A2">
            <v>1111000100</v>
          </cell>
          <cell r="B2" t="str">
            <v>ארנונה</v>
          </cell>
          <cell r="C2">
            <v>-3681860</v>
          </cell>
          <cell r="D2">
            <v>-3157215.46</v>
          </cell>
          <cell r="E2">
            <v>0</v>
          </cell>
          <cell r="F2">
            <v>-3157215.46</v>
          </cell>
          <cell r="G2">
            <v>-524644.54</v>
          </cell>
          <cell r="H2">
            <v>85.75</v>
          </cell>
          <cell r="I2">
            <v>-4420000</v>
          </cell>
          <cell r="J2">
            <v>-3157215.46</v>
          </cell>
        </row>
        <row r="3">
          <cell r="A3">
            <v>1112000121</v>
          </cell>
          <cell r="B3" t="str">
            <v>הכנסות פיגורים</v>
          </cell>
          <cell r="C3">
            <v>-1181190</v>
          </cell>
          <cell r="D3">
            <v>-127146.21</v>
          </cell>
          <cell r="E3">
            <v>0</v>
          </cell>
          <cell r="F3">
            <v>-127146.21</v>
          </cell>
          <cell r="G3">
            <v>-1054043.79</v>
          </cell>
          <cell r="H3">
            <v>10.76</v>
          </cell>
          <cell r="I3">
            <v>-1418000</v>
          </cell>
          <cell r="J3">
            <v>-127146.21</v>
          </cell>
        </row>
        <row r="4">
          <cell r="A4">
            <v>1112000122</v>
          </cell>
          <cell r="B4" t="str">
            <v>ארנונה פיגורים 2008</v>
          </cell>
          <cell r="C4">
            <v>-36650</v>
          </cell>
          <cell r="D4">
            <v>-1555.85</v>
          </cell>
          <cell r="E4">
            <v>0</v>
          </cell>
          <cell r="F4">
            <v>-1555.85</v>
          </cell>
          <cell r="G4">
            <v>-35094.15</v>
          </cell>
          <cell r="H4">
            <v>4.24</v>
          </cell>
          <cell r="I4">
            <v>-44000</v>
          </cell>
          <cell r="J4">
            <v>-1555.85</v>
          </cell>
        </row>
        <row r="5">
          <cell r="A5">
            <v>1112000123</v>
          </cell>
          <cell r="B5" t="str">
            <v>ארנונה פירורים 2009</v>
          </cell>
          <cell r="C5">
            <v>-37490</v>
          </cell>
          <cell r="D5">
            <v>-55859.01</v>
          </cell>
          <cell r="E5">
            <v>0</v>
          </cell>
          <cell r="F5">
            <v>-55859.01</v>
          </cell>
          <cell r="G5">
            <v>18369.009999999998</v>
          </cell>
          <cell r="H5">
            <v>148.99</v>
          </cell>
          <cell r="I5">
            <v>-45000</v>
          </cell>
          <cell r="J5">
            <v>-55859.01</v>
          </cell>
        </row>
        <row r="6">
          <cell r="A6">
            <v>1112000124</v>
          </cell>
          <cell r="B6" t="str">
            <v>ארנונה פיגורים 2010</v>
          </cell>
          <cell r="C6">
            <v>-44980</v>
          </cell>
          <cell r="D6">
            <v>-15335.27</v>
          </cell>
          <cell r="E6">
            <v>0</v>
          </cell>
          <cell r="F6">
            <v>-15335.27</v>
          </cell>
          <cell r="G6">
            <v>-29644.73</v>
          </cell>
          <cell r="H6">
            <v>34.090000000000003</v>
          </cell>
          <cell r="I6">
            <v>-54000</v>
          </cell>
          <cell r="J6">
            <v>-15335.27</v>
          </cell>
        </row>
        <row r="7">
          <cell r="A7">
            <v>1112000125</v>
          </cell>
          <cell r="B7" t="str">
            <v>ארנונה פיגורים 2011</v>
          </cell>
          <cell r="C7">
            <v>-80800</v>
          </cell>
          <cell r="D7">
            <v>-8481.9</v>
          </cell>
          <cell r="E7">
            <v>0</v>
          </cell>
          <cell r="F7">
            <v>-8481.9</v>
          </cell>
          <cell r="G7">
            <v>-72318.100000000006</v>
          </cell>
          <cell r="H7">
            <v>10.49</v>
          </cell>
          <cell r="I7">
            <v>-97000</v>
          </cell>
          <cell r="J7">
            <v>-8481.9</v>
          </cell>
        </row>
        <row r="8">
          <cell r="A8">
            <v>1112000126</v>
          </cell>
          <cell r="B8" t="str">
            <v>ארנונה פיגורים 2012</v>
          </cell>
          <cell r="C8">
            <v>-116620</v>
          </cell>
          <cell r="D8">
            <v>-15158.56</v>
          </cell>
          <cell r="E8">
            <v>0</v>
          </cell>
          <cell r="F8">
            <v>-15158.56</v>
          </cell>
          <cell r="G8">
            <v>-101461.44</v>
          </cell>
          <cell r="H8">
            <v>12.99</v>
          </cell>
          <cell r="I8">
            <v>-140000</v>
          </cell>
          <cell r="J8">
            <v>-15158.56</v>
          </cell>
        </row>
        <row r="9">
          <cell r="A9">
            <v>1112000127</v>
          </cell>
          <cell r="B9" t="str">
            <v>ארנונה פיגורים 2013</v>
          </cell>
          <cell r="C9">
            <v>-179100</v>
          </cell>
          <cell r="D9">
            <v>-30590.639999999999</v>
          </cell>
          <cell r="E9">
            <v>0</v>
          </cell>
          <cell r="F9">
            <v>-30590.639999999999</v>
          </cell>
          <cell r="G9">
            <v>-148509.35999999999</v>
          </cell>
          <cell r="H9">
            <v>17.079999999999998</v>
          </cell>
          <cell r="I9">
            <v>-215000</v>
          </cell>
          <cell r="J9">
            <v>-30590.639999999999</v>
          </cell>
        </row>
        <row r="10">
          <cell r="A10">
            <v>1112000128</v>
          </cell>
          <cell r="B10" t="str">
            <v>ארנונה פיגורים 2014</v>
          </cell>
          <cell r="C10">
            <v>-381510</v>
          </cell>
          <cell r="D10">
            <v>-75168.570000000007</v>
          </cell>
          <cell r="E10">
            <v>0</v>
          </cell>
          <cell r="F10">
            <v>-75168.570000000007</v>
          </cell>
          <cell r="G10">
            <v>-306341.43</v>
          </cell>
          <cell r="H10">
            <v>19.7</v>
          </cell>
          <cell r="I10">
            <v>-458000</v>
          </cell>
          <cell r="J10">
            <v>-75168.570000000007</v>
          </cell>
        </row>
        <row r="11">
          <cell r="A11">
            <v>1112000129</v>
          </cell>
          <cell r="B11" t="str">
            <v>ארנונה פיגורים 2015</v>
          </cell>
          <cell r="C11">
            <v>0</v>
          </cell>
          <cell r="D11">
            <v>-79800.240000000005</v>
          </cell>
          <cell r="E11">
            <v>0</v>
          </cell>
          <cell r="F11">
            <v>-79800.240000000005</v>
          </cell>
          <cell r="G11">
            <v>79800.240000000005</v>
          </cell>
          <cell r="H11">
            <v>0</v>
          </cell>
          <cell r="I11">
            <v>0</v>
          </cell>
          <cell r="J11">
            <v>-79800.240000000005</v>
          </cell>
        </row>
        <row r="12">
          <cell r="A12">
            <v>1112000130</v>
          </cell>
          <cell r="B12" t="str">
            <v>ארנונה פיגורים 2016</v>
          </cell>
          <cell r="C12">
            <v>0</v>
          </cell>
          <cell r="D12">
            <v>-435309.64</v>
          </cell>
          <cell r="E12">
            <v>0</v>
          </cell>
          <cell r="F12">
            <v>-435309.64</v>
          </cell>
          <cell r="G12">
            <v>435309.64</v>
          </cell>
          <cell r="H12">
            <v>0</v>
          </cell>
          <cell r="I12">
            <v>0</v>
          </cell>
          <cell r="J12">
            <v>-435309.64</v>
          </cell>
        </row>
        <row r="13">
          <cell r="A13">
            <v>1115000100</v>
          </cell>
          <cell r="B13" t="str">
            <v>הנחות לזכאים</v>
          </cell>
          <cell r="C13">
            <v>-2129150</v>
          </cell>
          <cell r="D13">
            <v>-1256699.5</v>
          </cell>
          <cell r="E13">
            <v>0</v>
          </cell>
          <cell r="F13">
            <v>-1256699.5</v>
          </cell>
          <cell r="G13">
            <v>-872450.5</v>
          </cell>
          <cell r="H13">
            <v>59.02</v>
          </cell>
          <cell r="I13">
            <v>-2556000</v>
          </cell>
          <cell r="J13">
            <v>-1256699.5</v>
          </cell>
        </row>
        <row r="14">
          <cell r="A14">
            <v>1121000290</v>
          </cell>
          <cell r="B14" t="str">
            <v>תעודות ואישורים</v>
          </cell>
          <cell r="C14">
            <v>-2500</v>
          </cell>
          <cell r="D14">
            <v>-1750</v>
          </cell>
          <cell r="E14">
            <v>0</v>
          </cell>
          <cell r="F14">
            <v>-1750</v>
          </cell>
          <cell r="G14">
            <v>-750</v>
          </cell>
          <cell r="H14">
            <v>70</v>
          </cell>
          <cell r="I14">
            <v>-3000</v>
          </cell>
          <cell r="J14">
            <v>-1750</v>
          </cell>
        </row>
        <row r="15">
          <cell r="A15">
            <v>1125000290</v>
          </cell>
          <cell r="B15" t="str">
            <v>גביית הוצאות אכיפה</v>
          </cell>
          <cell r="C15">
            <v>-89960</v>
          </cell>
          <cell r="D15">
            <v>-57005.38</v>
          </cell>
          <cell r="E15">
            <v>0</v>
          </cell>
          <cell r="F15">
            <v>-57005.38</v>
          </cell>
          <cell r="G15">
            <v>-32954.620000000003</v>
          </cell>
          <cell r="H15">
            <v>63.36</v>
          </cell>
          <cell r="I15">
            <v>-108000</v>
          </cell>
          <cell r="J15">
            <v>-57005.38</v>
          </cell>
        </row>
        <row r="16">
          <cell r="A16">
            <v>1129000290</v>
          </cell>
          <cell r="B16" t="str">
            <v>אגרות מים ובניה</v>
          </cell>
          <cell r="C16">
            <v>-236570</v>
          </cell>
          <cell r="D16">
            <v>-128928.2</v>
          </cell>
          <cell r="E16">
            <v>0</v>
          </cell>
          <cell r="F16">
            <v>-128928.2</v>
          </cell>
          <cell r="G16">
            <v>-107641.8</v>
          </cell>
          <cell r="H16">
            <v>54.49</v>
          </cell>
          <cell r="I16">
            <v>-284000</v>
          </cell>
          <cell r="J16">
            <v>-128928.2</v>
          </cell>
        </row>
        <row r="17">
          <cell r="A17">
            <v>1129200290</v>
          </cell>
          <cell r="B17" t="str">
            <v>היטל ביוב</v>
          </cell>
          <cell r="C17">
            <v>-250730</v>
          </cell>
          <cell r="D17">
            <v>-152706.25</v>
          </cell>
          <cell r="E17">
            <v>0</v>
          </cell>
          <cell r="F17">
            <v>-152706.25</v>
          </cell>
          <cell r="G17">
            <v>-98023.75</v>
          </cell>
          <cell r="H17">
            <v>60.9</v>
          </cell>
          <cell r="I17">
            <v>-301000</v>
          </cell>
          <cell r="J17">
            <v>-152706.25</v>
          </cell>
        </row>
        <row r="18">
          <cell r="A18">
            <v>1129210290</v>
          </cell>
          <cell r="B18" t="str">
            <v>יתרות ביוב 2006</v>
          </cell>
          <cell r="C18">
            <v>-830</v>
          </cell>
          <cell r="D18">
            <v>-690.3</v>
          </cell>
          <cell r="E18">
            <v>0</v>
          </cell>
          <cell r="F18">
            <v>-690.3</v>
          </cell>
          <cell r="G18">
            <v>-139.69999999999999</v>
          </cell>
          <cell r="H18">
            <v>83.16</v>
          </cell>
          <cell r="I18">
            <v>-1000</v>
          </cell>
          <cell r="J18">
            <v>-690.3</v>
          </cell>
        </row>
        <row r="19">
          <cell r="A19">
            <v>1129300290</v>
          </cell>
          <cell r="B19" t="str">
            <v>הכנסות שונות</v>
          </cell>
          <cell r="C19">
            <v>-56640</v>
          </cell>
          <cell r="D19">
            <v>-93412.24</v>
          </cell>
          <cell r="E19">
            <v>0</v>
          </cell>
          <cell r="F19">
            <v>-93412.24</v>
          </cell>
          <cell r="G19">
            <v>36772.239999999998</v>
          </cell>
          <cell r="H19">
            <v>164.92</v>
          </cell>
          <cell r="I19">
            <v>-68000</v>
          </cell>
          <cell r="J19">
            <v>-93412.24</v>
          </cell>
        </row>
        <row r="20">
          <cell r="A20">
            <v>1129400290</v>
          </cell>
          <cell r="B20" t="str">
            <v>אגרת רשיונות ושונות</v>
          </cell>
          <cell r="C20">
            <v>-26660</v>
          </cell>
          <cell r="D20">
            <v>-79500</v>
          </cell>
          <cell r="E20">
            <v>0</v>
          </cell>
          <cell r="F20">
            <v>-79500</v>
          </cell>
          <cell r="G20">
            <v>52840</v>
          </cell>
          <cell r="H20">
            <v>298.19</v>
          </cell>
          <cell r="I20">
            <v>-32000</v>
          </cell>
          <cell r="J20">
            <v>-79500</v>
          </cell>
        </row>
        <row r="21">
          <cell r="A21">
            <v>1129500290</v>
          </cell>
          <cell r="B21" t="str">
            <v>אגרת מים בגבעה</v>
          </cell>
          <cell r="C21">
            <v>-13330</v>
          </cell>
          <cell r="D21">
            <v>-13214.37</v>
          </cell>
          <cell r="E21">
            <v>0</v>
          </cell>
          <cell r="F21">
            <v>-13214.37</v>
          </cell>
          <cell r="G21">
            <v>-115.63</v>
          </cell>
          <cell r="H21">
            <v>99.13</v>
          </cell>
          <cell r="I21">
            <v>-16000</v>
          </cell>
          <cell r="J21">
            <v>-13214.37</v>
          </cell>
        </row>
        <row r="22">
          <cell r="A22">
            <v>1129600290</v>
          </cell>
          <cell r="B22" t="str">
            <v>ביוב מרכזי בגבעה</v>
          </cell>
          <cell r="C22">
            <v>-129120</v>
          </cell>
          <cell r="D22">
            <v>-127287.16</v>
          </cell>
          <cell r="E22">
            <v>0</v>
          </cell>
          <cell r="F22">
            <v>-127287.16</v>
          </cell>
          <cell r="G22">
            <v>-1832.84</v>
          </cell>
          <cell r="H22">
            <v>98.58</v>
          </cell>
          <cell r="I22">
            <v>-155000</v>
          </cell>
          <cell r="J22">
            <v>-127287.16</v>
          </cell>
        </row>
        <row r="23">
          <cell r="A23">
            <v>1129610290</v>
          </cell>
          <cell r="B23" t="str">
            <v>מט"ש הכנסות</v>
          </cell>
          <cell r="C23">
            <v>0</v>
          </cell>
          <cell r="D23">
            <v>-112269</v>
          </cell>
          <cell r="E23">
            <v>0</v>
          </cell>
          <cell r="F23">
            <v>-112269</v>
          </cell>
          <cell r="G23">
            <v>112269</v>
          </cell>
          <cell r="H23">
            <v>0</v>
          </cell>
          <cell r="I23">
            <v>0</v>
          </cell>
          <cell r="J23">
            <v>-112269</v>
          </cell>
        </row>
        <row r="24">
          <cell r="A24">
            <v>1129700290</v>
          </cell>
          <cell r="B24" t="str">
            <v>אגרת בניה בגבעה</v>
          </cell>
          <cell r="C24">
            <v>-113290</v>
          </cell>
          <cell r="D24">
            <v>-88055.02</v>
          </cell>
          <cell r="E24">
            <v>0</v>
          </cell>
          <cell r="F24">
            <v>-88055.02</v>
          </cell>
          <cell r="G24">
            <v>-25234.98</v>
          </cell>
          <cell r="H24">
            <v>77.72</v>
          </cell>
          <cell r="I24">
            <v>-136000</v>
          </cell>
          <cell r="J24">
            <v>-88055.02</v>
          </cell>
        </row>
        <row r="25">
          <cell r="A25">
            <v>1129800290</v>
          </cell>
          <cell r="B25" t="str">
            <v>אישורים חברת חשמל גבעה</v>
          </cell>
          <cell r="C25">
            <v>0</v>
          </cell>
          <cell r="D25">
            <v>-7360</v>
          </cell>
          <cell r="E25">
            <v>0</v>
          </cell>
          <cell r="F25">
            <v>-7360</v>
          </cell>
          <cell r="G25">
            <v>7360</v>
          </cell>
          <cell r="H25">
            <v>0</v>
          </cell>
          <cell r="I25">
            <v>0</v>
          </cell>
          <cell r="J25">
            <v>-7360</v>
          </cell>
        </row>
        <row r="26">
          <cell r="A26">
            <v>1129900290</v>
          </cell>
          <cell r="B26" t="str">
            <v>השת" הכנת תוכנית מפורתת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1131690290</v>
          </cell>
          <cell r="B27" t="str">
            <v>היטל השבחה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>
            <v>1157000690</v>
          </cell>
          <cell r="B28" t="str">
            <v>החזר ביטוח לאומי תאונת עב</v>
          </cell>
          <cell r="C28">
            <v>-12500</v>
          </cell>
          <cell r="D28">
            <v>-30959</v>
          </cell>
          <cell r="E28">
            <v>0</v>
          </cell>
          <cell r="F28">
            <v>-30959</v>
          </cell>
          <cell r="G28">
            <v>18459</v>
          </cell>
          <cell r="H28">
            <v>247.67</v>
          </cell>
          <cell r="I28">
            <v>-15000</v>
          </cell>
          <cell r="J28">
            <v>-30959</v>
          </cell>
        </row>
        <row r="29">
          <cell r="A29">
            <v>1157000740</v>
          </cell>
          <cell r="B29" t="str">
            <v>השת" מפעל הפיס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1160000290</v>
          </cell>
          <cell r="B30" t="str">
            <v>הכנסות מריבית</v>
          </cell>
          <cell r="C30">
            <v>0</v>
          </cell>
          <cell r="D30">
            <v>-0.48</v>
          </cell>
          <cell r="E30">
            <v>0</v>
          </cell>
          <cell r="F30">
            <v>-0.48</v>
          </cell>
          <cell r="G30">
            <v>0.48</v>
          </cell>
          <cell r="H30">
            <v>0</v>
          </cell>
          <cell r="I30">
            <v>0</v>
          </cell>
          <cell r="J30">
            <v>-0.48</v>
          </cell>
        </row>
        <row r="31">
          <cell r="A31">
            <v>1190000910</v>
          </cell>
          <cell r="B31" t="str">
            <v>מענק כללי</v>
          </cell>
          <cell r="C31">
            <v>-8323340</v>
          </cell>
          <cell r="D31">
            <v>-9743365.0899999999</v>
          </cell>
          <cell r="E31">
            <v>0</v>
          </cell>
          <cell r="F31">
            <v>-9743365.0899999999</v>
          </cell>
          <cell r="G31">
            <v>1420025.09</v>
          </cell>
          <cell r="H31">
            <v>117.06</v>
          </cell>
          <cell r="I31">
            <v>-9992000</v>
          </cell>
          <cell r="J31">
            <v>-9743365.0899999999</v>
          </cell>
        </row>
        <row r="32">
          <cell r="A32">
            <v>1190000920</v>
          </cell>
          <cell r="B32" t="str">
            <v>תקבולים ממשרד הפנים</v>
          </cell>
          <cell r="C32">
            <v>0</v>
          </cell>
          <cell r="D32">
            <v>-226425</v>
          </cell>
          <cell r="E32">
            <v>0</v>
          </cell>
          <cell r="F32">
            <v>-226425</v>
          </cell>
          <cell r="G32">
            <v>226425</v>
          </cell>
          <cell r="H32">
            <v>0</v>
          </cell>
          <cell r="I32">
            <v>0</v>
          </cell>
          <cell r="J32">
            <v>-226425</v>
          </cell>
        </row>
        <row r="33">
          <cell r="A33">
            <v>1191000910</v>
          </cell>
          <cell r="B33" t="str">
            <v>משרד הפנים שונות</v>
          </cell>
          <cell r="C33">
            <v>-248230</v>
          </cell>
          <cell r="D33">
            <v>0</v>
          </cell>
          <cell r="E33">
            <v>0</v>
          </cell>
          <cell r="F33">
            <v>0</v>
          </cell>
          <cell r="G33">
            <v>-248230</v>
          </cell>
          <cell r="H33">
            <v>0</v>
          </cell>
          <cell r="I33">
            <v>-298000</v>
          </cell>
          <cell r="J33">
            <v>0</v>
          </cell>
        </row>
        <row r="34">
          <cell r="A34">
            <v>1196000910</v>
          </cell>
          <cell r="B34" t="str">
            <v>מענק מותנה</v>
          </cell>
          <cell r="C34">
            <v>-1406940</v>
          </cell>
          <cell r="D34">
            <v>-1689270.2</v>
          </cell>
          <cell r="E34">
            <v>0</v>
          </cell>
          <cell r="F34">
            <v>-1689270.2</v>
          </cell>
          <cell r="G34">
            <v>282330.2</v>
          </cell>
          <cell r="H34">
            <v>120.06</v>
          </cell>
          <cell r="I34">
            <v>-1689000</v>
          </cell>
          <cell r="J34">
            <v>-1689270.2</v>
          </cell>
        </row>
        <row r="35">
          <cell r="A35">
            <v>1197000910</v>
          </cell>
          <cell r="B35" t="str">
            <v>מ.הפנים אבטחה מאויים 6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1212300620</v>
          </cell>
          <cell r="B36" t="str">
            <v>מכירת עגלות אשפה</v>
          </cell>
          <cell r="C36">
            <v>0</v>
          </cell>
          <cell r="D36">
            <v>-1200</v>
          </cell>
          <cell r="E36">
            <v>0</v>
          </cell>
          <cell r="F36">
            <v>-1200</v>
          </cell>
          <cell r="G36">
            <v>1200</v>
          </cell>
          <cell r="H36">
            <v>0</v>
          </cell>
          <cell r="I36">
            <v>0</v>
          </cell>
          <cell r="J36">
            <v>-1200</v>
          </cell>
        </row>
        <row r="37">
          <cell r="A37">
            <v>1213200920</v>
          </cell>
          <cell r="B37" t="str">
            <v>אגרת רשיונות עסקים</v>
          </cell>
          <cell r="C37">
            <v>0</v>
          </cell>
          <cell r="D37">
            <v>-8.83</v>
          </cell>
          <cell r="E37">
            <v>0</v>
          </cell>
          <cell r="F37">
            <v>-8.83</v>
          </cell>
          <cell r="G37">
            <v>8.83</v>
          </cell>
          <cell r="H37">
            <v>0</v>
          </cell>
          <cell r="I37">
            <v>0</v>
          </cell>
          <cell r="J37">
            <v>-8.83</v>
          </cell>
        </row>
        <row r="38">
          <cell r="A38">
            <v>1216900290</v>
          </cell>
          <cell r="B38" t="str">
            <v>היטל השבחה</v>
          </cell>
          <cell r="C38">
            <v>-416500</v>
          </cell>
          <cell r="D38">
            <v>-200000</v>
          </cell>
          <cell r="E38">
            <v>0</v>
          </cell>
          <cell r="F38">
            <v>-200000</v>
          </cell>
          <cell r="G38">
            <v>-216500</v>
          </cell>
          <cell r="H38">
            <v>48.01</v>
          </cell>
          <cell r="I38">
            <v>-500000</v>
          </cell>
          <cell r="J38">
            <v>-200000</v>
          </cell>
        </row>
        <row r="39">
          <cell r="A39">
            <v>1221000900</v>
          </cell>
          <cell r="B39" t="str">
            <v>משרד לבטחון פנים- שמירת בתי"ס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1221001900</v>
          </cell>
          <cell r="B40" t="str">
            <v>משרד לביטחון פנים עיר ללא אלימ</v>
          </cell>
          <cell r="C40">
            <v>-197420</v>
          </cell>
          <cell r="D40">
            <v>-324397</v>
          </cell>
          <cell r="E40">
            <v>0</v>
          </cell>
          <cell r="F40">
            <v>-324397</v>
          </cell>
          <cell r="G40">
            <v>126977</v>
          </cell>
          <cell r="H40">
            <v>164.31</v>
          </cell>
          <cell r="I40">
            <v>-237000</v>
          </cell>
          <cell r="J40">
            <v>-324397</v>
          </cell>
        </row>
        <row r="41">
          <cell r="A41">
            <v>1242210290</v>
          </cell>
          <cell r="B41" t="str">
            <v>פריצת דרכים בגבעה</v>
          </cell>
          <cell r="C41">
            <v>-124950</v>
          </cell>
          <cell r="D41">
            <v>-191180.59</v>
          </cell>
          <cell r="E41">
            <v>0</v>
          </cell>
          <cell r="F41">
            <v>-191180.59</v>
          </cell>
          <cell r="G41">
            <v>66230.59</v>
          </cell>
          <cell r="H41">
            <v>153</v>
          </cell>
          <cell r="I41">
            <v>-150000</v>
          </cell>
          <cell r="J41">
            <v>-191180.59</v>
          </cell>
        </row>
        <row r="42">
          <cell r="A42">
            <v>1244000790</v>
          </cell>
          <cell r="B42" t="str">
            <v>בטיחות בדרכים</v>
          </cell>
          <cell r="C42">
            <v>-29160</v>
          </cell>
          <cell r="D42">
            <v>-14800</v>
          </cell>
          <cell r="E42">
            <v>0</v>
          </cell>
          <cell r="F42">
            <v>-14800</v>
          </cell>
          <cell r="G42">
            <v>-14360</v>
          </cell>
          <cell r="H42">
            <v>50.75</v>
          </cell>
          <cell r="I42">
            <v>-35000</v>
          </cell>
          <cell r="J42">
            <v>-14800</v>
          </cell>
        </row>
        <row r="43">
          <cell r="A43">
            <v>1244100210</v>
          </cell>
          <cell r="B43" t="str">
            <v>כופר חניה</v>
          </cell>
          <cell r="C43">
            <v>-16660</v>
          </cell>
          <cell r="D43">
            <v>-12120</v>
          </cell>
          <cell r="E43">
            <v>0</v>
          </cell>
          <cell r="F43">
            <v>-12120</v>
          </cell>
          <cell r="G43">
            <v>-4540</v>
          </cell>
          <cell r="H43">
            <v>72.739999999999995</v>
          </cell>
          <cell r="I43">
            <v>-20000</v>
          </cell>
          <cell r="J43">
            <v>-12120</v>
          </cell>
        </row>
        <row r="44">
          <cell r="A44">
            <v>1249000540</v>
          </cell>
          <cell r="B44" t="str">
            <v>נכסים צבוריים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>
            <v>1296000960</v>
          </cell>
          <cell r="B45" t="str">
            <v>השת" משרד חקלאות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>
            <v>1312200920</v>
          </cell>
          <cell r="B46" t="str">
            <v>שכ"ל על יסודי</v>
          </cell>
          <cell r="C46">
            <v>-6791450</v>
          </cell>
          <cell r="D46">
            <v>-7031560.8899999997</v>
          </cell>
          <cell r="E46">
            <v>0</v>
          </cell>
          <cell r="F46">
            <v>-7031560.8899999997</v>
          </cell>
          <cell r="G46">
            <v>240110.89</v>
          </cell>
          <cell r="H46">
            <v>103.53</v>
          </cell>
          <cell r="I46">
            <v>-8153000</v>
          </cell>
          <cell r="J46">
            <v>-7031560.8899999997</v>
          </cell>
        </row>
        <row r="47">
          <cell r="A47">
            <v>1312210920</v>
          </cell>
          <cell r="B47" t="str">
            <v>מענק השתלמות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>
            <v>1312220920</v>
          </cell>
          <cell r="B48" t="str">
            <v>קרן השתלמות לשכ"ל</v>
          </cell>
          <cell r="C48">
            <v>-438990</v>
          </cell>
          <cell r="D48">
            <v>-530396.04</v>
          </cell>
          <cell r="E48">
            <v>0</v>
          </cell>
          <cell r="F48">
            <v>-530396.04</v>
          </cell>
          <cell r="G48">
            <v>91406.04</v>
          </cell>
          <cell r="H48">
            <v>120.82</v>
          </cell>
          <cell r="I48">
            <v>-527000</v>
          </cell>
          <cell r="J48">
            <v>-530396.04</v>
          </cell>
        </row>
        <row r="49">
          <cell r="A49">
            <v>1312300290</v>
          </cell>
          <cell r="B49" t="str">
            <v>טרום חובה</v>
          </cell>
          <cell r="C49">
            <v>-74970</v>
          </cell>
          <cell r="D49">
            <v>-60800</v>
          </cell>
          <cell r="E49">
            <v>0</v>
          </cell>
          <cell r="F49">
            <v>-60800</v>
          </cell>
          <cell r="G49">
            <v>-14170</v>
          </cell>
          <cell r="H49">
            <v>81.09</v>
          </cell>
          <cell r="I49">
            <v>-90000</v>
          </cell>
          <cell r="J49">
            <v>-60800</v>
          </cell>
        </row>
        <row r="50">
          <cell r="A50">
            <v>1312310290</v>
          </cell>
          <cell r="B50" t="str">
            <v>השת" נסיעות אלפרוק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>
            <v>1313200290</v>
          </cell>
          <cell r="B51" t="str">
            <v>השת" בקנית ציוד ב"ס</v>
          </cell>
          <cell r="C51">
            <v>-9160</v>
          </cell>
          <cell r="D51">
            <v>-700</v>
          </cell>
          <cell r="E51">
            <v>0</v>
          </cell>
          <cell r="F51">
            <v>-700</v>
          </cell>
          <cell r="G51">
            <v>-8460</v>
          </cell>
          <cell r="H51">
            <v>7.64</v>
          </cell>
          <cell r="I51">
            <v>-11000</v>
          </cell>
          <cell r="J51">
            <v>-700</v>
          </cell>
        </row>
        <row r="52">
          <cell r="A52">
            <v>1313200740</v>
          </cell>
          <cell r="B52" t="str">
            <v>מפעל הפיס ריהוט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1313200920</v>
          </cell>
          <cell r="B53" t="str">
            <v>עוזרות לגננות</v>
          </cell>
          <cell r="C53">
            <v>-848830</v>
          </cell>
          <cell r="D53">
            <v>-761197.42</v>
          </cell>
          <cell r="E53">
            <v>0</v>
          </cell>
          <cell r="F53">
            <v>-761197.42</v>
          </cell>
          <cell r="G53">
            <v>-87632.58</v>
          </cell>
          <cell r="H53">
            <v>89.67</v>
          </cell>
          <cell r="I53">
            <v>-1019000</v>
          </cell>
          <cell r="J53">
            <v>-761197.42</v>
          </cell>
        </row>
        <row r="54">
          <cell r="A54">
            <v>1313210920</v>
          </cell>
          <cell r="B54" t="str">
            <v>גננות עובדות מדינה</v>
          </cell>
          <cell r="C54">
            <v>0</v>
          </cell>
          <cell r="D54">
            <v>164342.71</v>
          </cell>
          <cell r="E54">
            <v>0</v>
          </cell>
          <cell r="F54">
            <v>164342.71</v>
          </cell>
          <cell r="G54">
            <v>-164342.71</v>
          </cell>
          <cell r="H54">
            <v>0</v>
          </cell>
          <cell r="I54">
            <v>0</v>
          </cell>
          <cell r="J54">
            <v>164342.71</v>
          </cell>
        </row>
        <row r="55">
          <cell r="A55">
            <v>1313220920</v>
          </cell>
          <cell r="B55" t="str">
            <v>שכר דירה</v>
          </cell>
          <cell r="C55">
            <v>-20830</v>
          </cell>
          <cell r="D55">
            <v>0</v>
          </cell>
          <cell r="E55">
            <v>0</v>
          </cell>
          <cell r="F55">
            <v>0</v>
          </cell>
          <cell r="G55">
            <v>-20830</v>
          </cell>
          <cell r="H55">
            <v>0</v>
          </cell>
          <cell r="I55">
            <v>-25000</v>
          </cell>
          <cell r="J55">
            <v>0</v>
          </cell>
        </row>
        <row r="56">
          <cell r="A56">
            <v>1313230920</v>
          </cell>
          <cell r="B56" t="str">
            <v>השת" ריהוט מ.חנוך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>
            <v>1313240920</v>
          </cell>
          <cell r="B57" t="str">
            <v>תכנית ניצנים - גנ"י</v>
          </cell>
          <cell r="C57">
            <v>0</v>
          </cell>
          <cell r="D57">
            <v>-909805</v>
          </cell>
          <cell r="E57">
            <v>0</v>
          </cell>
          <cell r="F57">
            <v>-909805</v>
          </cell>
          <cell r="G57">
            <v>909805</v>
          </cell>
          <cell r="H57">
            <v>0</v>
          </cell>
          <cell r="I57">
            <v>0</v>
          </cell>
          <cell r="J57">
            <v>-909805</v>
          </cell>
        </row>
        <row r="58">
          <cell r="A58">
            <v>1313300920</v>
          </cell>
          <cell r="B58" t="str">
            <v>סייעת שניה בגנ"י</v>
          </cell>
          <cell r="C58">
            <v>-1336130</v>
          </cell>
          <cell r="D58">
            <v>-1200705.96</v>
          </cell>
          <cell r="E58">
            <v>0</v>
          </cell>
          <cell r="F58">
            <v>-1200705.96</v>
          </cell>
          <cell r="G58">
            <v>-135424.04</v>
          </cell>
          <cell r="H58">
            <v>89.86</v>
          </cell>
          <cell r="I58">
            <v>-1604000</v>
          </cell>
          <cell r="J58">
            <v>-1200705.96</v>
          </cell>
        </row>
        <row r="59">
          <cell r="A59">
            <v>1313330920</v>
          </cell>
          <cell r="B59" t="str">
            <v>ניהול עצמי משופר א-ו</v>
          </cell>
          <cell r="C59">
            <v>0</v>
          </cell>
          <cell r="D59">
            <v>-1083874.8700000001</v>
          </cell>
          <cell r="E59">
            <v>0</v>
          </cell>
          <cell r="F59">
            <v>-1083874.8700000001</v>
          </cell>
          <cell r="G59">
            <v>1083874.8700000001</v>
          </cell>
          <cell r="H59">
            <v>0</v>
          </cell>
          <cell r="I59">
            <v>0</v>
          </cell>
          <cell r="J59">
            <v>-1083874.8700000001</v>
          </cell>
        </row>
        <row r="60">
          <cell r="A60">
            <v>1313340920</v>
          </cell>
          <cell r="B60" t="str">
            <v>עובד סיוע משופר א-ח</v>
          </cell>
          <cell r="C60">
            <v>-830</v>
          </cell>
          <cell r="D60">
            <v>-273910.03999999998</v>
          </cell>
          <cell r="E60">
            <v>0</v>
          </cell>
          <cell r="F60">
            <v>-273910.03999999998</v>
          </cell>
          <cell r="G60">
            <v>273080.03999999998</v>
          </cell>
          <cell r="H60">
            <v>33001.199999999997</v>
          </cell>
          <cell r="I60">
            <v>-1000</v>
          </cell>
          <cell r="J60">
            <v>-273910.03999999998</v>
          </cell>
        </row>
        <row r="61">
          <cell r="A61">
            <v>1313350920</v>
          </cell>
          <cell r="B61" t="str">
            <v>תוספת דפרנציאלית נ. עצמי</v>
          </cell>
          <cell r="C61">
            <v>0</v>
          </cell>
          <cell r="D61">
            <v>-363771.1</v>
          </cell>
          <cell r="E61">
            <v>0</v>
          </cell>
          <cell r="F61">
            <v>-363771.1</v>
          </cell>
          <cell r="G61">
            <v>363771.1</v>
          </cell>
          <cell r="H61">
            <v>0</v>
          </cell>
          <cell r="I61">
            <v>0</v>
          </cell>
          <cell r="J61">
            <v>-363771.1</v>
          </cell>
        </row>
        <row r="62">
          <cell r="A62">
            <v>1313360920</v>
          </cell>
          <cell r="B62" t="str">
            <v>גמול מנהליות נ.עצמי</v>
          </cell>
          <cell r="C62">
            <v>-830</v>
          </cell>
          <cell r="D62">
            <v>-7444.02</v>
          </cell>
          <cell r="E62">
            <v>0</v>
          </cell>
          <cell r="F62">
            <v>-7444.02</v>
          </cell>
          <cell r="G62">
            <v>6614.02</v>
          </cell>
          <cell r="H62">
            <v>896.86</v>
          </cell>
          <cell r="I62">
            <v>-1000</v>
          </cell>
          <cell r="J62">
            <v>-7444.02</v>
          </cell>
        </row>
        <row r="63">
          <cell r="A63">
            <v>1313400920</v>
          </cell>
          <cell r="B63" t="str">
            <v>השת" מ.חנוך פרויקטים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>
            <v>1313410290</v>
          </cell>
          <cell r="B64" t="str">
            <v>השתת" פסיכומטרי</v>
          </cell>
          <cell r="C64">
            <v>0</v>
          </cell>
          <cell r="D64">
            <v>-3900</v>
          </cell>
          <cell r="E64">
            <v>0</v>
          </cell>
          <cell r="F64">
            <v>-3900</v>
          </cell>
          <cell r="G64">
            <v>3900</v>
          </cell>
          <cell r="H64">
            <v>0</v>
          </cell>
          <cell r="I64">
            <v>0</v>
          </cell>
          <cell r="J64">
            <v>-3900</v>
          </cell>
        </row>
        <row r="65">
          <cell r="A65">
            <v>1313450920</v>
          </cell>
          <cell r="B65" t="str">
            <v>הכנסות שונות מס חינוך</v>
          </cell>
          <cell r="C65">
            <v>0</v>
          </cell>
          <cell r="D65">
            <v>-146545.42000000001</v>
          </cell>
          <cell r="E65">
            <v>0</v>
          </cell>
          <cell r="F65">
            <v>-146545.42000000001</v>
          </cell>
          <cell r="G65">
            <v>146545.42000000001</v>
          </cell>
          <cell r="H65">
            <v>0</v>
          </cell>
          <cell r="I65">
            <v>0</v>
          </cell>
          <cell r="J65">
            <v>-146545.42000000001</v>
          </cell>
        </row>
        <row r="66">
          <cell r="A66">
            <v>1313451920</v>
          </cell>
          <cell r="B66" t="str">
            <v>הנגשה אקוסטית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A67">
            <v>1313452920</v>
          </cell>
          <cell r="B67" t="str">
            <v>הנגשה פרטנית לתלמידים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>
            <v>1313453920</v>
          </cell>
          <cell r="B68" t="str">
            <v>התנסות מדעית טכנולוגית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>
            <v>1313600920</v>
          </cell>
          <cell r="B69" t="str">
            <v>תוכנית דוברת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>
            <v>1313610920</v>
          </cell>
          <cell r="B70" t="str">
            <v>חוק שילוב סייעות</v>
          </cell>
          <cell r="C70">
            <v>-244900</v>
          </cell>
          <cell r="D70">
            <v>-295868.86</v>
          </cell>
          <cell r="E70">
            <v>0</v>
          </cell>
          <cell r="F70">
            <v>-295868.86</v>
          </cell>
          <cell r="G70">
            <v>50968.86</v>
          </cell>
          <cell r="H70">
            <v>120.81</v>
          </cell>
          <cell r="I70">
            <v>-294000</v>
          </cell>
          <cell r="J70">
            <v>-295868.86</v>
          </cell>
        </row>
        <row r="71">
          <cell r="A71">
            <v>1313700920</v>
          </cell>
          <cell r="B71" t="str">
            <v>הכנסות מ.חינוך פינות עבודה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>
            <v>1313800290</v>
          </cell>
          <cell r="B72" t="str">
            <v>ביטוח תלמידים</v>
          </cell>
          <cell r="C72">
            <v>-83300</v>
          </cell>
          <cell r="D72">
            <v>-32400</v>
          </cell>
          <cell r="E72">
            <v>0</v>
          </cell>
          <cell r="F72">
            <v>-32400</v>
          </cell>
          <cell r="G72">
            <v>-50900</v>
          </cell>
          <cell r="H72">
            <v>38.89</v>
          </cell>
          <cell r="I72">
            <v>-100000</v>
          </cell>
          <cell r="J72">
            <v>-32400</v>
          </cell>
        </row>
        <row r="73">
          <cell r="A73">
            <v>1314000920</v>
          </cell>
          <cell r="B73" t="str">
            <v>שירות פסיכולוגי</v>
          </cell>
          <cell r="C73">
            <v>-537290</v>
          </cell>
          <cell r="D73">
            <v>-547051.29</v>
          </cell>
          <cell r="E73">
            <v>0</v>
          </cell>
          <cell r="F73">
            <v>-547051.29</v>
          </cell>
          <cell r="G73">
            <v>9761.2900000000009</v>
          </cell>
          <cell r="H73">
            <v>101.81</v>
          </cell>
          <cell r="I73">
            <v>-645000</v>
          </cell>
          <cell r="J73">
            <v>-547051.29</v>
          </cell>
        </row>
        <row r="74">
          <cell r="A74">
            <v>1315100920</v>
          </cell>
          <cell r="B74" t="str">
            <v>סייעות טיפוליות</v>
          </cell>
          <cell r="C74">
            <v>-364850</v>
          </cell>
          <cell r="D74">
            <v>-537504.44999999995</v>
          </cell>
          <cell r="E74">
            <v>0</v>
          </cell>
          <cell r="F74">
            <v>-537504.44999999995</v>
          </cell>
          <cell r="G74">
            <v>172654.45</v>
          </cell>
          <cell r="H74">
            <v>147.32</v>
          </cell>
          <cell r="I74">
            <v>-438000</v>
          </cell>
          <cell r="J74">
            <v>-537504.44999999995</v>
          </cell>
        </row>
        <row r="75">
          <cell r="A75">
            <v>1315110920</v>
          </cell>
          <cell r="B75" t="str">
            <v>הסעות חינוך</v>
          </cell>
          <cell r="C75">
            <v>-906300</v>
          </cell>
          <cell r="D75">
            <v>-1259810.47</v>
          </cell>
          <cell r="E75">
            <v>0</v>
          </cell>
          <cell r="F75">
            <v>-1259810.47</v>
          </cell>
          <cell r="G75">
            <v>353510.47</v>
          </cell>
          <cell r="H75">
            <v>139</v>
          </cell>
          <cell r="I75">
            <v>-1088000</v>
          </cell>
          <cell r="J75">
            <v>-1259810.47</v>
          </cell>
        </row>
        <row r="76">
          <cell r="A76">
            <v>1315111920</v>
          </cell>
          <cell r="B76" t="str">
            <v>סייעות ציל"ה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1315120420</v>
          </cell>
          <cell r="B77" t="str">
            <v>החזר נסיעות ח.מיוחד</v>
          </cell>
          <cell r="C77">
            <v>-11660</v>
          </cell>
          <cell r="D77">
            <v>0</v>
          </cell>
          <cell r="E77">
            <v>0</v>
          </cell>
          <cell r="F77">
            <v>0</v>
          </cell>
          <cell r="G77">
            <v>-11660</v>
          </cell>
          <cell r="H77">
            <v>0</v>
          </cell>
          <cell r="I77">
            <v>-14000</v>
          </cell>
          <cell r="J77">
            <v>0</v>
          </cell>
        </row>
        <row r="78">
          <cell r="A78">
            <v>1315120920</v>
          </cell>
          <cell r="B78" t="str">
            <v>דמי שתיה</v>
          </cell>
          <cell r="C78">
            <v>-5830</v>
          </cell>
          <cell r="D78">
            <v>-5126.6400000000003</v>
          </cell>
          <cell r="E78">
            <v>0</v>
          </cell>
          <cell r="F78">
            <v>-5126.6400000000003</v>
          </cell>
          <cell r="G78">
            <v>-703.36</v>
          </cell>
          <cell r="H78">
            <v>87.93</v>
          </cell>
          <cell r="I78">
            <v>-7000</v>
          </cell>
          <cell r="J78">
            <v>-5126.6400000000003</v>
          </cell>
        </row>
        <row r="79">
          <cell r="A79">
            <v>1315130920</v>
          </cell>
          <cell r="B79" t="str">
            <v>רכב מנהלים</v>
          </cell>
          <cell r="C79">
            <v>-15830</v>
          </cell>
          <cell r="D79">
            <v>-16701.599999999999</v>
          </cell>
          <cell r="E79">
            <v>0</v>
          </cell>
          <cell r="F79">
            <v>-16701.599999999999</v>
          </cell>
          <cell r="G79">
            <v>871.6</v>
          </cell>
          <cell r="H79">
            <v>105.5</v>
          </cell>
          <cell r="I79">
            <v>-19000</v>
          </cell>
          <cell r="J79">
            <v>-16701.599999999999</v>
          </cell>
        </row>
        <row r="80">
          <cell r="A80">
            <v>1315140920</v>
          </cell>
          <cell r="B80" t="str">
            <v>רכב סגנים</v>
          </cell>
          <cell r="C80">
            <v>-2500</v>
          </cell>
          <cell r="D80">
            <v>-3256.8</v>
          </cell>
          <cell r="E80">
            <v>0</v>
          </cell>
          <cell r="F80">
            <v>-3256.8</v>
          </cell>
          <cell r="G80">
            <v>756.8</v>
          </cell>
          <cell r="H80">
            <v>130.27000000000001</v>
          </cell>
          <cell r="I80">
            <v>-3000</v>
          </cell>
          <cell r="J80">
            <v>-3256.8</v>
          </cell>
        </row>
        <row r="81">
          <cell r="A81">
            <v>1315150920</v>
          </cell>
          <cell r="B81" t="str">
            <v>הוצ נלוות ח.מיוחד</v>
          </cell>
          <cell r="C81">
            <v>-404010</v>
          </cell>
          <cell r="D81">
            <v>-196881.88</v>
          </cell>
          <cell r="E81">
            <v>0</v>
          </cell>
          <cell r="F81">
            <v>-196881.88</v>
          </cell>
          <cell r="G81">
            <v>-207128.12</v>
          </cell>
          <cell r="H81">
            <v>48.73</v>
          </cell>
          <cell r="I81">
            <v>-485000</v>
          </cell>
          <cell r="J81">
            <v>-196881.88</v>
          </cell>
        </row>
        <row r="82">
          <cell r="A82">
            <v>1315160920</v>
          </cell>
          <cell r="B82" t="str">
            <v>חיוב אגרת תלמיד חוץ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1315170920</v>
          </cell>
          <cell r="B83" t="str">
            <v>שעות פרטניות -עוז לתמורה</v>
          </cell>
          <cell r="C83">
            <v>-2221610</v>
          </cell>
          <cell r="D83">
            <v>-2604420.58</v>
          </cell>
          <cell r="E83">
            <v>0</v>
          </cell>
          <cell r="F83">
            <v>-2604420.58</v>
          </cell>
          <cell r="G83">
            <v>382810.58</v>
          </cell>
          <cell r="H83">
            <v>117.23</v>
          </cell>
          <cell r="I83">
            <v>-2667000</v>
          </cell>
          <cell r="J83">
            <v>-2604420.58</v>
          </cell>
        </row>
        <row r="84">
          <cell r="A84">
            <v>1315171920</v>
          </cell>
          <cell r="B84" t="str">
            <v>שעות תומכות - עוז לתמורה</v>
          </cell>
          <cell r="C84">
            <v>0</v>
          </cell>
          <cell r="D84">
            <v>-1399187.4</v>
          </cell>
          <cell r="E84">
            <v>0</v>
          </cell>
          <cell r="F84">
            <v>-1399187.4</v>
          </cell>
          <cell r="G84">
            <v>1399187.4</v>
          </cell>
          <cell r="H84">
            <v>0</v>
          </cell>
          <cell r="I84">
            <v>0</v>
          </cell>
          <cell r="J84">
            <v>-1399187.4</v>
          </cell>
        </row>
        <row r="85">
          <cell r="A85">
            <v>1315180740</v>
          </cell>
          <cell r="B85" t="str">
            <v>השת" בחשמל בי"ס עתיד</v>
          </cell>
          <cell r="C85">
            <v>-58310</v>
          </cell>
          <cell r="D85">
            <v>0</v>
          </cell>
          <cell r="E85">
            <v>0</v>
          </cell>
          <cell r="F85">
            <v>0</v>
          </cell>
          <cell r="G85">
            <v>-58310</v>
          </cell>
          <cell r="H85">
            <v>0</v>
          </cell>
          <cell r="I85">
            <v>-70000</v>
          </cell>
          <cell r="J85">
            <v>0</v>
          </cell>
        </row>
        <row r="86">
          <cell r="A86">
            <v>1315200920</v>
          </cell>
          <cell r="B86" t="str">
            <v>מגמת אומניות העיצוב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1317100920</v>
          </cell>
          <cell r="B87" t="str">
            <v>קב"ט בחינוך</v>
          </cell>
          <cell r="C87">
            <v>-41650</v>
          </cell>
          <cell r="D87">
            <v>-408013.84</v>
          </cell>
          <cell r="E87">
            <v>0</v>
          </cell>
          <cell r="F87">
            <v>-408013.84</v>
          </cell>
          <cell r="G87">
            <v>366363.84</v>
          </cell>
          <cell r="H87">
            <v>979.62</v>
          </cell>
          <cell r="I87">
            <v>-50000</v>
          </cell>
          <cell r="J87">
            <v>-408013.84</v>
          </cell>
        </row>
        <row r="88">
          <cell r="A88">
            <v>1317200920</v>
          </cell>
          <cell r="B88" t="str">
            <v>השת" בציוד בטיחות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1317300920</v>
          </cell>
          <cell r="B89" t="str">
            <v>מרכיבי בטחון מסודות חינוך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1317400920</v>
          </cell>
          <cell r="B90" t="str">
            <v>סייעות רפאיות</v>
          </cell>
          <cell r="C90">
            <v>-94130</v>
          </cell>
          <cell r="D90">
            <v>-29564.38</v>
          </cell>
          <cell r="E90">
            <v>0</v>
          </cell>
          <cell r="F90">
            <v>-29564.38</v>
          </cell>
          <cell r="G90">
            <v>-64565.62</v>
          </cell>
          <cell r="H90">
            <v>31.4</v>
          </cell>
          <cell r="I90">
            <v>-113000</v>
          </cell>
          <cell r="J90">
            <v>-29564.38</v>
          </cell>
        </row>
        <row r="91">
          <cell r="A91">
            <v>1317500220</v>
          </cell>
          <cell r="B91" t="str">
            <v>ביטוח ילדים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1317500920</v>
          </cell>
          <cell r="B92" t="str">
            <v>סל תלמיד-חט"ב_+שכפול</v>
          </cell>
          <cell r="C92">
            <v>-1341130</v>
          </cell>
          <cell r="D92">
            <v>-1383033.06</v>
          </cell>
          <cell r="E92">
            <v>0</v>
          </cell>
          <cell r="F92">
            <v>-1383033.06</v>
          </cell>
          <cell r="G92">
            <v>41903.06</v>
          </cell>
          <cell r="H92">
            <v>103.12</v>
          </cell>
          <cell r="I92">
            <v>-1610000</v>
          </cell>
          <cell r="J92">
            <v>-1383033.06</v>
          </cell>
        </row>
        <row r="93">
          <cell r="A93">
            <v>1317510920</v>
          </cell>
          <cell r="B93" t="str">
            <v>תשלומי הורים חומרים</v>
          </cell>
          <cell r="C93">
            <v>-208250</v>
          </cell>
          <cell r="D93">
            <v>-192273.34</v>
          </cell>
          <cell r="E93">
            <v>0</v>
          </cell>
          <cell r="F93">
            <v>-192273.34</v>
          </cell>
          <cell r="G93">
            <v>-15976.66</v>
          </cell>
          <cell r="H93">
            <v>92.32</v>
          </cell>
          <cell r="I93">
            <v>-250000</v>
          </cell>
          <cell r="J93">
            <v>-192273.34</v>
          </cell>
        </row>
        <row r="94">
          <cell r="A94">
            <v>1317520920</v>
          </cell>
          <cell r="B94" t="str">
            <v>חברה הוגנת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1317530920</v>
          </cell>
          <cell r="B95" t="str">
            <v>הבראה וביגוד</v>
          </cell>
          <cell r="C95">
            <v>-485640</v>
          </cell>
          <cell r="D95">
            <v>-475235.83</v>
          </cell>
          <cell r="E95">
            <v>0</v>
          </cell>
          <cell r="F95">
            <v>-475235.83</v>
          </cell>
          <cell r="G95">
            <v>-10404.17</v>
          </cell>
          <cell r="H95">
            <v>97.85</v>
          </cell>
          <cell r="I95">
            <v>-583000</v>
          </cell>
          <cell r="J95">
            <v>-475235.83</v>
          </cell>
        </row>
        <row r="96">
          <cell r="A96">
            <v>1317561920</v>
          </cell>
          <cell r="B96" t="str">
            <v>גמול בגרות אחוזי</v>
          </cell>
          <cell r="C96">
            <v>-150770</v>
          </cell>
          <cell r="D96">
            <v>-145635.66</v>
          </cell>
          <cell r="E96">
            <v>0</v>
          </cell>
          <cell r="F96">
            <v>-145635.66</v>
          </cell>
          <cell r="G96">
            <v>-5134.34</v>
          </cell>
          <cell r="H96">
            <v>96.59</v>
          </cell>
          <cell r="I96">
            <v>-181000</v>
          </cell>
          <cell r="J96">
            <v>-145635.66</v>
          </cell>
        </row>
        <row r="97">
          <cell r="A97">
            <v>1317565920</v>
          </cell>
          <cell r="B97" t="str">
            <v>מתמטיקה תחילה</v>
          </cell>
          <cell r="C97">
            <v>-24990</v>
          </cell>
          <cell r="D97">
            <v>-55011.77</v>
          </cell>
          <cell r="E97">
            <v>0</v>
          </cell>
          <cell r="F97">
            <v>-55011.77</v>
          </cell>
          <cell r="G97">
            <v>30021.77</v>
          </cell>
          <cell r="H97">
            <v>220.13</v>
          </cell>
          <cell r="I97">
            <v>-30000</v>
          </cell>
          <cell r="J97">
            <v>-55011.77</v>
          </cell>
        </row>
        <row r="98">
          <cell r="A98">
            <v>1317566920</v>
          </cell>
          <cell r="B98" t="str">
            <v>תוכנית סולמות אנגלית</v>
          </cell>
          <cell r="C98">
            <v>0</v>
          </cell>
          <cell r="D98">
            <v>-26385.279999999999</v>
          </cell>
          <cell r="E98">
            <v>0</v>
          </cell>
          <cell r="F98">
            <v>-26385.279999999999</v>
          </cell>
          <cell r="G98">
            <v>26385.279999999999</v>
          </cell>
          <cell r="H98">
            <v>0</v>
          </cell>
          <cell r="I98">
            <v>0</v>
          </cell>
          <cell r="J98">
            <v>-26385.279999999999</v>
          </cell>
        </row>
        <row r="99">
          <cell r="A99">
            <v>1317567920</v>
          </cell>
          <cell r="B99" t="str">
            <v>מנהל תחום תרבותי</v>
          </cell>
          <cell r="C99">
            <v>-6660</v>
          </cell>
          <cell r="D99">
            <v>-51389.99</v>
          </cell>
          <cell r="E99">
            <v>0</v>
          </cell>
          <cell r="F99">
            <v>-51389.99</v>
          </cell>
          <cell r="G99">
            <v>44729.99</v>
          </cell>
          <cell r="H99">
            <v>771.62</v>
          </cell>
          <cell r="I99">
            <v>-8000</v>
          </cell>
          <cell r="J99">
            <v>-51389.99</v>
          </cell>
        </row>
        <row r="100">
          <cell r="A100">
            <v>1317568920</v>
          </cell>
          <cell r="B100" t="str">
            <v>משרות דרגות קידום</v>
          </cell>
          <cell r="C100">
            <v>-830</v>
          </cell>
          <cell r="D100">
            <v>-2199.37</v>
          </cell>
          <cell r="E100">
            <v>0</v>
          </cell>
          <cell r="F100">
            <v>-2199.37</v>
          </cell>
          <cell r="G100">
            <v>1369.37</v>
          </cell>
          <cell r="H100">
            <v>264.98</v>
          </cell>
          <cell r="I100">
            <v>-1000</v>
          </cell>
          <cell r="J100">
            <v>-2199.37</v>
          </cell>
        </row>
        <row r="101">
          <cell r="A101">
            <v>1317569920</v>
          </cell>
          <cell r="B101" t="str">
            <v>ת.תקשוב-קיזוז רשויות</v>
          </cell>
          <cell r="C101">
            <v>0</v>
          </cell>
          <cell r="D101">
            <v>-159180.72</v>
          </cell>
          <cell r="E101">
            <v>0</v>
          </cell>
          <cell r="F101">
            <v>-159180.72</v>
          </cell>
          <cell r="G101">
            <v>159180.72</v>
          </cell>
          <cell r="H101">
            <v>0</v>
          </cell>
          <cell r="I101">
            <v>0</v>
          </cell>
          <cell r="J101">
            <v>-159180.72</v>
          </cell>
        </row>
        <row r="102">
          <cell r="A102">
            <v>1317600920</v>
          </cell>
          <cell r="B102" t="str">
            <v>גמול טיולים</v>
          </cell>
          <cell r="C102">
            <v>-126620</v>
          </cell>
          <cell r="D102">
            <v>-146788.28</v>
          </cell>
          <cell r="E102">
            <v>0</v>
          </cell>
          <cell r="F102">
            <v>-146788.28</v>
          </cell>
          <cell r="G102">
            <v>20168.28</v>
          </cell>
          <cell r="H102">
            <v>115.92</v>
          </cell>
          <cell r="I102">
            <v>-152000</v>
          </cell>
          <cell r="J102">
            <v>-146788.28</v>
          </cell>
        </row>
        <row r="103">
          <cell r="A103">
            <v>1317610920</v>
          </cell>
          <cell r="B103" t="str">
            <v>השתתפות בטיולים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1317620920</v>
          </cell>
          <cell r="B104" t="str">
            <v>ציוד ומכשירים חנ"ג</v>
          </cell>
          <cell r="C104">
            <v>0</v>
          </cell>
          <cell r="D104">
            <v>1000</v>
          </cell>
          <cell r="E104">
            <v>0</v>
          </cell>
          <cell r="F104">
            <v>1000</v>
          </cell>
          <cell r="G104">
            <v>-1000</v>
          </cell>
          <cell r="H104">
            <v>0</v>
          </cell>
          <cell r="I104">
            <v>0</v>
          </cell>
          <cell r="J104">
            <v>1000</v>
          </cell>
        </row>
        <row r="105">
          <cell r="A105">
            <v>1317700920</v>
          </cell>
          <cell r="B105" t="str">
            <v>קבסי"ם  מ.חנוך</v>
          </cell>
          <cell r="C105">
            <v>-169100</v>
          </cell>
          <cell r="D105">
            <v>-123851.25</v>
          </cell>
          <cell r="E105">
            <v>0</v>
          </cell>
          <cell r="F105">
            <v>-123851.25</v>
          </cell>
          <cell r="G105">
            <v>-45248.75</v>
          </cell>
          <cell r="H105">
            <v>73.239999999999995</v>
          </cell>
          <cell r="I105">
            <v>-203000</v>
          </cell>
          <cell r="J105">
            <v>-123851.25</v>
          </cell>
        </row>
        <row r="106">
          <cell r="A106">
            <v>1317710920</v>
          </cell>
          <cell r="B106" t="str">
            <v>תוכנית מניפה למניעת נשירה</v>
          </cell>
          <cell r="C106">
            <v>-45820</v>
          </cell>
          <cell r="D106">
            <v>-3943.02</v>
          </cell>
          <cell r="E106">
            <v>0</v>
          </cell>
          <cell r="F106">
            <v>-3943.02</v>
          </cell>
          <cell r="G106">
            <v>-41876.980000000003</v>
          </cell>
          <cell r="H106">
            <v>8.6</v>
          </cell>
          <cell r="I106">
            <v>-55000</v>
          </cell>
          <cell r="J106">
            <v>-3943.02</v>
          </cell>
        </row>
        <row r="107">
          <cell r="A107">
            <v>1317720920</v>
          </cell>
          <cell r="B107" t="str">
            <v>מילוי מקום מוסודת</v>
          </cell>
          <cell r="C107">
            <v>-23320</v>
          </cell>
          <cell r="D107">
            <v>-25645.46</v>
          </cell>
          <cell r="E107">
            <v>0</v>
          </cell>
          <cell r="F107">
            <v>-25645.46</v>
          </cell>
          <cell r="G107">
            <v>2325.46</v>
          </cell>
          <cell r="H107">
            <v>109.97</v>
          </cell>
          <cell r="I107">
            <v>-28000</v>
          </cell>
          <cell r="J107">
            <v>-25645.46</v>
          </cell>
        </row>
        <row r="108">
          <cell r="A108">
            <v>1317730920</v>
          </cell>
          <cell r="B108" t="str">
            <v>שעות תפקיד רכז מקצוע</v>
          </cell>
          <cell r="C108">
            <v>-49980</v>
          </cell>
          <cell r="D108">
            <v>-64134.87</v>
          </cell>
          <cell r="E108">
            <v>0</v>
          </cell>
          <cell r="F108">
            <v>-64134.87</v>
          </cell>
          <cell r="G108">
            <v>14154.87</v>
          </cell>
          <cell r="H108">
            <v>128.32</v>
          </cell>
          <cell r="I108">
            <v>-60000</v>
          </cell>
          <cell r="J108">
            <v>-64134.87</v>
          </cell>
        </row>
        <row r="109">
          <cell r="A109">
            <v>1317740920</v>
          </cell>
          <cell r="B109" t="str">
            <v>אוריינות מדעית</v>
          </cell>
          <cell r="C109">
            <v>-7500</v>
          </cell>
          <cell r="D109">
            <v>-6272.92</v>
          </cell>
          <cell r="E109">
            <v>0</v>
          </cell>
          <cell r="F109">
            <v>-6272.92</v>
          </cell>
          <cell r="G109">
            <v>-1227.08</v>
          </cell>
          <cell r="H109">
            <v>83.63</v>
          </cell>
          <cell r="I109">
            <v>-9000</v>
          </cell>
          <cell r="J109">
            <v>-6272.92</v>
          </cell>
        </row>
        <row r="110">
          <cell r="A110">
            <v>1317750920</v>
          </cell>
          <cell r="B110" t="str">
            <v>עתודה מדעית טכנולוגית</v>
          </cell>
          <cell r="C110">
            <v>-47480</v>
          </cell>
          <cell r="D110">
            <v>-108802.81</v>
          </cell>
          <cell r="E110">
            <v>0</v>
          </cell>
          <cell r="F110">
            <v>-108802.81</v>
          </cell>
          <cell r="G110">
            <v>61322.81</v>
          </cell>
          <cell r="H110">
            <v>229.15</v>
          </cell>
          <cell r="I110">
            <v>-57000</v>
          </cell>
          <cell r="J110">
            <v>-108802.81</v>
          </cell>
        </row>
        <row r="111">
          <cell r="A111">
            <v>1317800920</v>
          </cell>
          <cell r="B111" t="str">
            <v>מענק יובל</v>
          </cell>
          <cell r="C111">
            <v>-49980</v>
          </cell>
          <cell r="D111">
            <v>-69540.72</v>
          </cell>
          <cell r="E111">
            <v>0</v>
          </cell>
          <cell r="F111">
            <v>-69540.72</v>
          </cell>
          <cell r="G111">
            <v>19560.72</v>
          </cell>
          <cell r="H111">
            <v>139.13</v>
          </cell>
          <cell r="I111">
            <v>-60000</v>
          </cell>
          <cell r="J111">
            <v>-69540.72</v>
          </cell>
        </row>
        <row r="112">
          <cell r="A112">
            <v>1317810920</v>
          </cell>
          <cell r="B112" t="str">
            <v>שיפור סביבה תיכון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1317820920</v>
          </cell>
          <cell r="B113" t="str">
            <v>מזכירים</v>
          </cell>
          <cell r="C113">
            <v>-41650</v>
          </cell>
          <cell r="D113">
            <v>-74300.78</v>
          </cell>
          <cell r="E113">
            <v>0</v>
          </cell>
          <cell r="F113">
            <v>-74300.78</v>
          </cell>
          <cell r="G113">
            <v>32650.78</v>
          </cell>
          <cell r="H113">
            <v>178.39</v>
          </cell>
          <cell r="I113">
            <v>-50000</v>
          </cell>
          <cell r="J113">
            <v>-74300.78</v>
          </cell>
        </row>
        <row r="114">
          <cell r="A114">
            <v>1317830920</v>
          </cell>
          <cell r="B114" t="str">
            <v>שרתים</v>
          </cell>
          <cell r="C114">
            <v>-133280</v>
          </cell>
          <cell r="D114">
            <v>-200885.38</v>
          </cell>
          <cell r="E114">
            <v>0</v>
          </cell>
          <cell r="F114">
            <v>-200885.38</v>
          </cell>
          <cell r="G114">
            <v>67605.38</v>
          </cell>
          <cell r="H114">
            <v>150.72</v>
          </cell>
          <cell r="I114">
            <v>-160000</v>
          </cell>
          <cell r="J114">
            <v>-200885.38</v>
          </cell>
        </row>
        <row r="115">
          <cell r="A115">
            <v>1317831920</v>
          </cell>
          <cell r="B115" t="str">
            <v>פדיון ימי חופשה שרתים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1317840920</v>
          </cell>
          <cell r="B116" t="str">
            <v>שכ"ל גני ילדים</v>
          </cell>
          <cell r="C116">
            <v>-2898840</v>
          </cell>
          <cell r="D116">
            <v>-3120034.8</v>
          </cell>
          <cell r="E116">
            <v>0</v>
          </cell>
          <cell r="F116">
            <v>-3120034.8</v>
          </cell>
          <cell r="G116">
            <v>221194.8</v>
          </cell>
          <cell r="H116">
            <v>107.63</v>
          </cell>
          <cell r="I116">
            <v>-3480000</v>
          </cell>
          <cell r="J116">
            <v>-3120034.8</v>
          </cell>
        </row>
        <row r="117">
          <cell r="A117">
            <v>1317841920</v>
          </cell>
          <cell r="B117" t="str">
            <v>ניהול עצמי משופר</v>
          </cell>
          <cell r="C117">
            <v>-1052910</v>
          </cell>
          <cell r="D117">
            <v>0</v>
          </cell>
          <cell r="E117">
            <v>0</v>
          </cell>
          <cell r="F117">
            <v>0</v>
          </cell>
          <cell r="G117">
            <v>-1052910</v>
          </cell>
          <cell r="H117">
            <v>0</v>
          </cell>
          <cell r="I117">
            <v>-1264000</v>
          </cell>
          <cell r="J117">
            <v>0</v>
          </cell>
        </row>
        <row r="118">
          <cell r="A118">
            <v>1317842920</v>
          </cell>
          <cell r="B118" t="str">
            <v>הצטידות גני ילדים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1317850920</v>
          </cell>
          <cell r="B119" t="str">
            <v>אולפנים</v>
          </cell>
          <cell r="C119">
            <v>-11660</v>
          </cell>
          <cell r="D119">
            <v>-6585.68</v>
          </cell>
          <cell r="E119">
            <v>0</v>
          </cell>
          <cell r="F119">
            <v>-6585.68</v>
          </cell>
          <cell r="G119">
            <v>-5074.32</v>
          </cell>
          <cell r="H119">
            <v>56.48</v>
          </cell>
          <cell r="I119">
            <v>-14000</v>
          </cell>
          <cell r="J119">
            <v>-6585.68</v>
          </cell>
        </row>
        <row r="120">
          <cell r="A120">
            <v>1317851920</v>
          </cell>
          <cell r="B120" t="str">
            <v>עובדי סיוע - ניהול עצמי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1317860920</v>
          </cell>
          <cell r="B121" t="str">
            <v>מעדונית ברשיות</v>
          </cell>
          <cell r="C121">
            <v>-275720</v>
          </cell>
          <cell r="D121">
            <v>-314110.99</v>
          </cell>
          <cell r="E121">
            <v>0</v>
          </cell>
          <cell r="F121">
            <v>-314110.99</v>
          </cell>
          <cell r="G121">
            <v>38390.99</v>
          </cell>
          <cell r="H121">
            <v>113.92</v>
          </cell>
          <cell r="I121">
            <v>-331000</v>
          </cell>
          <cell r="J121">
            <v>-314110.99</v>
          </cell>
        </row>
        <row r="122">
          <cell r="A122">
            <v>1317861920</v>
          </cell>
          <cell r="B122" t="str">
            <v>תוספת דפרנצילית- ניהול עצמי</v>
          </cell>
          <cell r="C122">
            <v>0</v>
          </cell>
          <cell r="D122">
            <v>90</v>
          </cell>
          <cell r="E122">
            <v>0</v>
          </cell>
          <cell r="F122">
            <v>90</v>
          </cell>
          <cell r="G122">
            <v>-90</v>
          </cell>
          <cell r="H122">
            <v>0</v>
          </cell>
          <cell r="I122">
            <v>0</v>
          </cell>
          <cell r="J122">
            <v>90</v>
          </cell>
        </row>
        <row r="123">
          <cell r="A123">
            <v>1317870690</v>
          </cell>
          <cell r="B123" t="str">
            <v>ביטוח לאומי הקצבה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1317870920</v>
          </cell>
          <cell r="B124" t="str">
            <v>מחשבים לבי"ס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1317875920</v>
          </cell>
          <cell r="B125" t="str">
            <v>חותם "רשיונות למחשבים"</v>
          </cell>
          <cell r="C125">
            <v>0</v>
          </cell>
          <cell r="D125">
            <v>13576.53</v>
          </cell>
          <cell r="E125">
            <v>0</v>
          </cell>
          <cell r="F125">
            <v>13576.53</v>
          </cell>
          <cell r="G125">
            <v>-13576.53</v>
          </cell>
          <cell r="H125">
            <v>0</v>
          </cell>
          <cell r="I125">
            <v>0</v>
          </cell>
          <cell r="J125">
            <v>13576.53</v>
          </cell>
        </row>
        <row r="126">
          <cell r="A126">
            <v>1317880920</v>
          </cell>
          <cell r="B126" t="str">
            <v>הצטיידות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1317890920</v>
          </cell>
          <cell r="B127" t="str">
            <v>יוזמות מנהל מחוז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1317891920</v>
          </cell>
          <cell r="B128" t="str">
            <v>תוכנית אומץ מנ"ע ונחשון</v>
          </cell>
          <cell r="C128">
            <v>-83300</v>
          </cell>
          <cell r="D128">
            <v>-146666.46</v>
          </cell>
          <cell r="E128">
            <v>0</v>
          </cell>
          <cell r="F128">
            <v>-146666.46</v>
          </cell>
          <cell r="G128">
            <v>63366.46</v>
          </cell>
          <cell r="H128">
            <v>176.07</v>
          </cell>
          <cell r="I128">
            <v>-100000</v>
          </cell>
          <cell r="J128">
            <v>-146666.46</v>
          </cell>
        </row>
        <row r="129">
          <cell r="A129">
            <v>1317893920</v>
          </cell>
          <cell r="B129" t="str">
            <v>השלמת בגרות לי"ג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1317894920</v>
          </cell>
          <cell r="B130" t="str">
            <v>שרותי היקף בתי נוער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1317895920</v>
          </cell>
          <cell r="B131" t="str">
            <v>מוביל בי"ס מניעת סמים</v>
          </cell>
          <cell r="C131">
            <v>-5000</v>
          </cell>
          <cell r="D131">
            <v>-3873.2</v>
          </cell>
          <cell r="E131">
            <v>0</v>
          </cell>
          <cell r="F131">
            <v>-3873.2</v>
          </cell>
          <cell r="G131">
            <v>-1126.8</v>
          </cell>
          <cell r="H131">
            <v>77.459999999999994</v>
          </cell>
          <cell r="I131">
            <v>-6000</v>
          </cell>
          <cell r="J131">
            <v>-3873.2</v>
          </cell>
        </row>
        <row r="132">
          <cell r="A132">
            <v>1317896920</v>
          </cell>
          <cell r="B132" t="str">
            <v>מוחזקות חדשה בי"ס תיכון</v>
          </cell>
          <cell r="C132">
            <v>-497300</v>
          </cell>
          <cell r="D132">
            <v>-465798.16</v>
          </cell>
          <cell r="E132">
            <v>0</v>
          </cell>
          <cell r="F132">
            <v>-465798.16</v>
          </cell>
          <cell r="G132">
            <v>-31501.84</v>
          </cell>
          <cell r="H132">
            <v>93.66</v>
          </cell>
          <cell r="I132">
            <v>-597000</v>
          </cell>
          <cell r="J132">
            <v>-465798.16</v>
          </cell>
        </row>
        <row r="133">
          <cell r="A133">
            <v>1317897920</v>
          </cell>
          <cell r="B133" t="str">
            <v>מסלול משופר חרשים עוורים</v>
          </cell>
          <cell r="C133">
            <v>-15830</v>
          </cell>
          <cell r="D133">
            <v>-27220.32</v>
          </cell>
          <cell r="E133">
            <v>0</v>
          </cell>
          <cell r="F133">
            <v>-27220.32</v>
          </cell>
          <cell r="G133">
            <v>11390.32</v>
          </cell>
          <cell r="H133">
            <v>171.95</v>
          </cell>
          <cell r="I133">
            <v>-19000</v>
          </cell>
          <cell r="J133">
            <v>-27220.32</v>
          </cell>
        </row>
        <row r="134">
          <cell r="A134">
            <v>1317898920</v>
          </cell>
          <cell r="B134" t="str">
            <v>מטה שנהר וקרמניצר</v>
          </cell>
          <cell r="C134">
            <v>-31650</v>
          </cell>
          <cell r="D134">
            <v>-11949.69</v>
          </cell>
          <cell r="E134">
            <v>0</v>
          </cell>
          <cell r="F134">
            <v>-11949.69</v>
          </cell>
          <cell r="G134">
            <v>-19700.310000000001</v>
          </cell>
          <cell r="H134">
            <v>37.75</v>
          </cell>
          <cell r="I134">
            <v>-38000</v>
          </cell>
          <cell r="J134">
            <v>-11949.69</v>
          </cell>
        </row>
        <row r="135">
          <cell r="A135">
            <v>1317900920</v>
          </cell>
          <cell r="B135" t="str">
            <v>שרותים אחרים מ.חנוך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>
            <v>1318000920</v>
          </cell>
          <cell r="B136" t="str">
            <v>תהיל"ה</v>
          </cell>
          <cell r="C136">
            <v>-5000</v>
          </cell>
          <cell r="D136">
            <v>0</v>
          </cell>
          <cell r="E136">
            <v>0</v>
          </cell>
          <cell r="F136">
            <v>0</v>
          </cell>
          <cell r="G136">
            <v>-5000</v>
          </cell>
          <cell r="H136">
            <v>0</v>
          </cell>
          <cell r="I136">
            <v>-6000</v>
          </cell>
          <cell r="J136">
            <v>0</v>
          </cell>
        </row>
        <row r="137">
          <cell r="A137">
            <v>1318100740</v>
          </cell>
          <cell r="B137" t="str">
            <v>מ.הפיס -ספריה צבורית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1318100920</v>
          </cell>
          <cell r="B138" t="str">
            <v>ספריה ציבורית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1319000920</v>
          </cell>
          <cell r="B139" t="str">
            <v>מסגרת קיץ פר תלמיד רגיל</v>
          </cell>
          <cell r="C139">
            <v>-462320</v>
          </cell>
          <cell r="D139">
            <v>-529135.63</v>
          </cell>
          <cell r="E139">
            <v>0</v>
          </cell>
          <cell r="F139">
            <v>-529135.63</v>
          </cell>
          <cell r="G139">
            <v>66815.63</v>
          </cell>
          <cell r="H139">
            <v>114.45</v>
          </cell>
          <cell r="I139">
            <v>-555000</v>
          </cell>
          <cell r="J139">
            <v>-529135.63</v>
          </cell>
        </row>
        <row r="140">
          <cell r="A140">
            <v>1319100920</v>
          </cell>
          <cell r="B140" t="str">
            <v>מסגרת קיץ פר מוסד</v>
          </cell>
          <cell r="C140">
            <v>-43320</v>
          </cell>
          <cell r="D140">
            <v>-47395</v>
          </cell>
          <cell r="E140">
            <v>0</v>
          </cell>
          <cell r="F140">
            <v>-47395</v>
          </cell>
          <cell r="G140">
            <v>4075</v>
          </cell>
          <cell r="H140">
            <v>109.4</v>
          </cell>
          <cell r="I140">
            <v>-52000</v>
          </cell>
          <cell r="J140">
            <v>-47395</v>
          </cell>
        </row>
        <row r="141">
          <cell r="A141">
            <v>1319200920</v>
          </cell>
          <cell r="B141" t="str">
            <v>הסעות מסגרות קיץ פר מסלול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A142">
            <v>1323000220</v>
          </cell>
          <cell r="B142" t="str">
            <v>טרום חובה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>
            <v>1323000920</v>
          </cell>
          <cell r="B143" t="str">
            <v>משרד התרבות - קידום נוער</v>
          </cell>
          <cell r="C143">
            <v>-65810</v>
          </cell>
          <cell r="D143">
            <v>0</v>
          </cell>
          <cell r="E143">
            <v>0</v>
          </cell>
          <cell r="F143">
            <v>0</v>
          </cell>
          <cell r="G143">
            <v>-65810</v>
          </cell>
          <cell r="H143">
            <v>0</v>
          </cell>
          <cell r="I143">
            <v>-79000</v>
          </cell>
          <cell r="J143">
            <v>0</v>
          </cell>
        </row>
        <row r="144">
          <cell r="A144">
            <v>1323100920</v>
          </cell>
          <cell r="B144" t="str">
            <v>משרד התרבות יחידת נוער</v>
          </cell>
          <cell r="C144">
            <v>-33320</v>
          </cell>
          <cell r="D144">
            <v>-57208</v>
          </cell>
          <cell r="E144">
            <v>0</v>
          </cell>
          <cell r="F144">
            <v>-57208</v>
          </cell>
          <cell r="G144">
            <v>23888</v>
          </cell>
          <cell r="H144">
            <v>171.69</v>
          </cell>
          <cell r="I144">
            <v>-40000</v>
          </cell>
          <cell r="J144">
            <v>-57208</v>
          </cell>
        </row>
        <row r="145">
          <cell r="A145">
            <v>1324000420</v>
          </cell>
          <cell r="B145" t="str">
            <v>השתתפות הורים</v>
          </cell>
          <cell r="C145">
            <v>-830</v>
          </cell>
          <cell r="D145">
            <v>-750</v>
          </cell>
          <cell r="E145">
            <v>0</v>
          </cell>
          <cell r="F145">
            <v>-750</v>
          </cell>
          <cell r="G145">
            <v>-80</v>
          </cell>
          <cell r="H145">
            <v>90.36</v>
          </cell>
          <cell r="I145">
            <v>-1000</v>
          </cell>
          <cell r="J145">
            <v>-750</v>
          </cell>
        </row>
        <row r="146">
          <cell r="A146">
            <v>1324000720</v>
          </cell>
          <cell r="B146" t="str">
            <v>מ.תחבורה תרבות</v>
          </cell>
          <cell r="C146">
            <v>-46650</v>
          </cell>
          <cell r="D146">
            <v>0</v>
          </cell>
          <cell r="E146">
            <v>0</v>
          </cell>
          <cell r="F146">
            <v>0</v>
          </cell>
          <cell r="G146">
            <v>-46650</v>
          </cell>
          <cell r="H146">
            <v>0</v>
          </cell>
          <cell r="I146">
            <v>-56000</v>
          </cell>
          <cell r="J146">
            <v>0</v>
          </cell>
        </row>
        <row r="147">
          <cell r="A147">
            <v>1324000920</v>
          </cell>
          <cell r="B147" t="str">
            <v>מ.חנוך -מעדנית נוער</v>
          </cell>
          <cell r="C147">
            <v>-100790</v>
          </cell>
          <cell r="D147">
            <v>-37676.720000000001</v>
          </cell>
          <cell r="E147">
            <v>0</v>
          </cell>
          <cell r="F147">
            <v>-37676.720000000001</v>
          </cell>
          <cell r="G147">
            <v>-63113.279999999999</v>
          </cell>
          <cell r="H147">
            <v>37.380000000000003</v>
          </cell>
          <cell r="I147">
            <v>-121000</v>
          </cell>
          <cell r="J147">
            <v>-37676.720000000001</v>
          </cell>
        </row>
        <row r="148">
          <cell r="A148">
            <v>1324100410</v>
          </cell>
          <cell r="B148" t="str">
            <v>חינוך מבוגרים השת"</v>
          </cell>
          <cell r="C148">
            <v>0</v>
          </cell>
          <cell r="D148">
            <v>-140</v>
          </cell>
          <cell r="E148">
            <v>0</v>
          </cell>
          <cell r="F148">
            <v>-140</v>
          </cell>
          <cell r="G148">
            <v>140</v>
          </cell>
          <cell r="H148">
            <v>0</v>
          </cell>
          <cell r="I148">
            <v>0</v>
          </cell>
          <cell r="J148">
            <v>-140</v>
          </cell>
        </row>
        <row r="149">
          <cell r="A149">
            <v>1324100920</v>
          </cell>
          <cell r="B149" t="str">
            <v>חנוך מבוגרים השכלה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A150">
            <v>1328000810</v>
          </cell>
          <cell r="B150" t="str">
            <v>בית נוער הפעלה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1328000920</v>
          </cell>
          <cell r="B151" t="str">
            <v>מ.חינוך נוער</v>
          </cell>
          <cell r="C151">
            <v>-74140</v>
          </cell>
          <cell r="D151">
            <v>0</v>
          </cell>
          <cell r="E151">
            <v>0</v>
          </cell>
          <cell r="F151">
            <v>0</v>
          </cell>
          <cell r="G151">
            <v>-74140</v>
          </cell>
          <cell r="H151">
            <v>0</v>
          </cell>
          <cell r="I151">
            <v>-89000</v>
          </cell>
          <cell r="J151">
            <v>0</v>
          </cell>
        </row>
        <row r="152">
          <cell r="A152">
            <v>1329000420</v>
          </cell>
          <cell r="B152" t="str">
            <v>פעילות ספורט</v>
          </cell>
          <cell r="C152">
            <v>-11660</v>
          </cell>
          <cell r="D152">
            <v>-15620</v>
          </cell>
          <cell r="E152">
            <v>0</v>
          </cell>
          <cell r="F152">
            <v>-15620</v>
          </cell>
          <cell r="G152">
            <v>3960</v>
          </cell>
          <cell r="H152">
            <v>133.96</v>
          </cell>
          <cell r="I152">
            <v>-14000</v>
          </cell>
          <cell r="J152">
            <v>-15620</v>
          </cell>
        </row>
        <row r="153">
          <cell r="A153">
            <v>1329000920</v>
          </cell>
          <cell r="B153" t="str">
            <v>פעולות ספורט מ.חינוך</v>
          </cell>
          <cell r="C153">
            <v>0</v>
          </cell>
          <cell r="D153">
            <v>-30000</v>
          </cell>
          <cell r="E153">
            <v>0</v>
          </cell>
          <cell r="F153">
            <v>-30000</v>
          </cell>
          <cell r="G153">
            <v>30000</v>
          </cell>
          <cell r="H153">
            <v>0</v>
          </cell>
          <cell r="I153">
            <v>0</v>
          </cell>
          <cell r="J153">
            <v>-30000</v>
          </cell>
        </row>
        <row r="154">
          <cell r="A154">
            <v>1329900710</v>
          </cell>
          <cell r="B154" t="str">
            <v>אולם ספורט מפעל הפיס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1329910710</v>
          </cell>
          <cell r="B155" t="str">
            <v>תרבות וספורט</v>
          </cell>
          <cell r="C155">
            <v>-70810</v>
          </cell>
          <cell r="D155">
            <v>0</v>
          </cell>
          <cell r="E155">
            <v>0</v>
          </cell>
          <cell r="F155">
            <v>0</v>
          </cell>
          <cell r="G155">
            <v>-70810</v>
          </cell>
          <cell r="H155">
            <v>0</v>
          </cell>
          <cell r="I155">
            <v>-85000</v>
          </cell>
          <cell r="J155">
            <v>0</v>
          </cell>
        </row>
        <row r="156">
          <cell r="A156">
            <v>1332300940</v>
          </cell>
          <cell r="B156" t="str">
            <v>מ.הבריאות</v>
          </cell>
          <cell r="C156">
            <v>-84130</v>
          </cell>
          <cell r="D156">
            <v>-48797.5</v>
          </cell>
          <cell r="E156">
            <v>0</v>
          </cell>
          <cell r="F156">
            <v>-48797.5</v>
          </cell>
          <cell r="G156">
            <v>-35332.5</v>
          </cell>
          <cell r="H156">
            <v>58</v>
          </cell>
          <cell r="I156">
            <v>-101000</v>
          </cell>
          <cell r="J156">
            <v>-89175.5</v>
          </cell>
        </row>
        <row r="157">
          <cell r="A157">
            <v>1341000930</v>
          </cell>
          <cell r="B157" t="str">
            <v>שכר עובדי לשכות</v>
          </cell>
          <cell r="C157">
            <v>-803010</v>
          </cell>
          <cell r="D157">
            <v>-797683</v>
          </cell>
          <cell r="E157">
            <v>0</v>
          </cell>
          <cell r="F157">
            <v>-797683</v>
          </cell>
          <cell r="G157">
            <v>-5327</v>
          </cell>
          <cell r="H157">
            <v>99.33</v>
          </cell>
          <cell r="I157">
            <v>-964000</v>
          </cell>
          <cell r="J157">
            <v>-797683</v>
          </cell>
        </row>
        <row r="158">
          <cell r="A158">
            <v>1341100930</v>
          </cell>
          <cell r="B158" t="str">
            <v>הוצ ארגוניות רשויות</v>
          </cell>
          <cell r="C158">
            <v>-3330</v>
          </cell>
          <cell r="D158">
            <v>0</v>
          </cell>
          <cell r="E158">
            <v>0</v>
          </cell>
          <cell r="F158">
            <v>0</v>
          </cell>
          <cell r="G158">
            <v>-3330</v>
          </cell>
          <cell r="H158">
            <v>0</v>
          </cell>
          <cell r="I158">
            <v>-4000</v>
          </cell>
          <cell r="J158">
            <v>0</v>
          </cell>
        </row>
        <row r="159">
          <cell r="A159">
            <v>1341200930</v>
          </cell>
          <cell r="B159" t="str">
            <v>מחשוב מח רווחה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1342200930</v>
          </cell>
          <cell r="B160" t="str">
            <v>משפחות במצוקה במקהלה</v>
          </cell>
          <cell r="C160">
            <v>-65810</v>
          </cell>
          <cell r="D160">
            <v>-139402</v>
          </cell>
          <cell r="E160">
            <v>0</v>
          </cell>
          <cell r="F160">
            <v>-139402</v>
          </cell>
          <cell r="G160">
            <v>73592</v>
          </cell>
          <cell r="H160">
            <v>211.82</v>
          </cell>
          <cell r="I160">
            <v>-79000</v>
          </cell>
          <cell r="J160">
            <v>-139402</v>
          </cell>
        </row>
        <row r="161">
          <cell r="A161">
            <v>1342210220</v>
          </cell>
          <cell r="B161" t="str">
            <v>השת" נשים בקיטנה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1342210930</v>
          </cell>
          <cell r="B162" t="str">
            <v>קיטנות לאמהות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>
            <v>1342220930</v>
          </cell>
          <cell r="B163" t="str">
            <v>סיוע למשפחות עם ילדים</v>
          </cell>
          <cell r="C163">
            <v>-65810</v>
          </cell>
          <cell r="D163">
            <v>-170740</v>
          </cell>
          <cell r="E163">
            <v>0</v>
          </cell>
          <cell r="F163">
            <v>-170740</v>
          </cell>
          <cell r="G163">
            <v>104930</v>
          </cell>
          <cell r="H163">
            <v>259.44</v>
          </cell>
          <cell r="I163">
            <v>-79000</v>
          </cell>
          <cell r="J163">
            <v>-170740</v>
          </cell>
        </row>
        <row r="164">
          <cell r="A164">
            <v>1342221930</v>
          </cell>
          <cell r="B164" t="str">
            <v>בית חם לנערות</v>
          </cell>
          <cell r="C164">
            <v>-158270</v>
          </cell>
          <cell r="D164">
            <v>-183794</v>
          </cell>
          <cell r="E164">
            <v>0</v>
          </cell>
          <cell r="F164">
            <v>-183794</v>
          </cell>
          <cell r="G164">
            <v>25524</v>
          </cell>
          <cell r="H164">
            <v>116.12</v>
          </cell>
          <cell r="I164">
            <v>-190000</v>
          </cell>
          <cell r="J164">
            <v>-183794</v>
          </cell>
        </row>
        <row r="165">
          <cell r="A165">
            <v>1342222930</v>
          </cell>
          <cell r="B165" t="str">
            <v>צרכי משרד רווחה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>
            <v>1342230930</v>
          </cell>
          <cell r="B166" t="str">
            <v>תוכנית עם פנים</v>
          </cell>
          <cell r="C166">
            <v>-119950</v>
          </cell>
          <cell r="D166">
            <v>0</v>
          </cell>
          <cell r="E166">
            <v>0</v>
          </cell>
          <cell r="F166">
            <v>0</v>
          </cell>
          <cell r="G166">
            <v>-119950</v>
          </cell>
          <cell r="H166">
            <v>0</v>
          </cell>
          <cell r="I166">
            <v>-144000</v>
          </cell>
          <cell r="J166">
            <v>0</v>
          </cell>
        </row>
        <row r="167">
          <cell r="A167">
            <v>1342300930</v>
          </cell>
          <cell r="B167" t="str">
            <v>תוכנית עם הפנים לקהילה</v>
          </cell>
          <cell r="C167">
            <v>-161600</v>
          </cell>
          <cell r="D167">
            <v>-152231</v>
          </cell>
          <cell r="E167">
            <v>0</v>
          </cell>
          <cell r="F167">
            <v>-152231</v>
          </cell>
          <cell r="G167">
            <v>-9369</v>
          </cell>
          <cell r="H167">
            <v>94.2</v>
          </cell>
          <cell r="I167">
            <v>-194000</v>
          </cell>
          <cell r="J167">
            <v>-152231</v>
          </cell>
        </row>
        <row r="168">
          <cell r="A168">
            <v>1342500930</v>
          </cell>
          <cell r="B168" t="str">
            <v>סמך מקצועי</v>
          </cell>
          <cell r="C168">
            <v>-22490</v>
          </cell>
          <cell r="D168">
            <v>-16820</v>
          </cell>
          <cell r="E168">
            <v>0</v>
          </cell>
          <cell r="F168">
            <v>-16820</v>
          </cell>
          <cell r="G168">
            <v>-5670</v>
          </cell>
          <cell r="H168">
            <v>74.78</v>
          </cell>
          <cell r="I168">
            <v>-27000</v>
          </cell>
          <cell r="J168">
            <v>-16820</v>
          </cell>
        </row>
        <row r="169">
          <cell r="A169">
            <v>1342600930</v>
          </cell>
          <cell r="B169" t="str">
            <v>תמ"ת  משפחתון</v>
          </cell>
          <cell r="C169">
            <v>-1110390</v>
          </cell>
          <cell r="D169">
            <v>-216894</v>
          </cell>
          <cell r="E169">
            <v>0</v>
          </cell>
          <cell r="F169">
            <v>-216894</v>
          </cell>
          <cell r="G169">
            <v>-893496</v>
          </cell>
          <cell r="H169">
            <v>19.53</v>
          </cell>
          <cell r="I169">
            <v>-1333000</v>
          </cell>
          <cell r="J169">
            <v>-216894</v>
          </cell>
        </row>
        <row r="170">
          <cell r="A170">
            <v>1342650930</v>
          </cell>
          <cell r="B170" t="str">
            <v>פרוייקט וינגייט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A171">
            <v>1343500220</v>
          </cell>
          <cell r="B171" t="str">
            <v>משפחתון השתת" ופעילות</v>
          </cell>
          <cell r="C171">
            <v>-10830</v>
          </cell>
          <cell r="D171">
            <v>0</v>
          </cell>
          <cell r="E171">
            <v>0</v>
          </cell>
          <cell r="F171">
            <v>0</v>
          </cell>
          <cell r="G171">
            <v>-10830</v>
          </cell>
          <cell r="H171">
            <v>0</v>
          </cell>
          <cell r="I171">
            <v>-13000</v>
          </cell>
          <cell r="J171">
            <v>0</v>
          </cell>
        </row>
        <row r="172">
          <cell r="A172">
            <v>1343500930</v>
          </cell>
          <cell r="B172" t="str">
            <v>רכזות משפחתונים</v>
          </cell>
          <cell r="C172">
            <v>-75800</v>
          </cell>
          <cell r="D172">
            <v>-19381</v>
          </cell>
          <cell r="E172">
            <v>0</v>
          </cell>
          <cell r="F172">
            <v>-19381</v>
          </cell>
          <cell r="G172">
            <v>-56419</v>
          </cell>
          <cell r="H172">
            <v>25.56</v>
          </cell>
          <cell r="I172">
            <v>-91000</v>
          </cell>
          <cell r="J172">
            <v>-19381</v>
          </cell>
        </row>
        <row r="173">
          <cell r="A173">
            <v>1343510930</v>
          </cell>
          <cell r="B173" t="str">
            <v>טיפול בילד בקהילה</v>
          </cell>
          <cell r="C173">
            <v>-364020</v>
          </cell>
          <cell r="D173">
            <v>-339199</v>
          </cell>
          <cell r="E173">
            <v>0</v>
          </cell>
          <cell r="F173">
            <v>-339199</v>
          </cell>
          <cell r="G173">
            <v>-24821</v>
          </cell>
          <cell r="H173">
            <v>93.18</v>
          </cell>
          <cell r="I173">
            <v>-437000</v>
          </cell>
          <cell r="J173">
            <v>-339199</v>
          </cell>
        </row>
        <row r="174">
          <cell r="A174">
            <v>1343800930</v>
          </cell>
          <cell r="B174" t="str">
            <v>אחזקת ילדים בפנימיות</v>
          </cell>
          <cell r="C174">
            <v>-188260</v>
          </cell>
          <cell r="D174">
            <v>-596859</v>
          </cell>
          <cell r="E174">
            <v>0</v>
          </cell>
          <cell r="F174">
            <v>-596859</v>
          </cell>
          <cell r="G174">
            <v>408599</v>
          </cell>
          <cell r="H174">
            <v>317.02999999999997</v>
          </cell>
          <cell r="I174">
            <v>-226000</v>
          </cell>
          <cell r="J174">
            <v>-596859</v>
          </cell>
        </row>
        <row r="175">
          <cell r="A175">
            <v>1343900930</v>
          </cell>
          <cell r="B175" t="str">
            <v>אומנה/ילדים במעון</v>
          </cell>
          <cell r="C175">
            <v>-680560</v>
          </cell>
          <cell r="D175">
            <v>-204080</v>
          </cell>
          <cell r="E175">
            <v>0</v>
          </cell>
          <cell r="F175">
            <v>-204080</v>
          </cell>
          <cell r="G175">
            <v>-476480</v>
          </cell>
          <cell r="H175">
            <v>29.98</v>
          </cell>
          <cell r="I175">
            <v>-817000</v>
          </cell>
          <cell r="J175">
            <v>-204080</v>
          </cell>
        </row>
        <row r="176">
          <cell r="A176">
            <v>1344000220</v>
          </cell>
          <cell r="B176" t="str">
            <v>השתת פעילות בית זקנים</v>
          </cell>
          <cell r="C176">
            <v>-7500</v>
          </cell>
          <cell r="D176">
            <v>-3600</v>
          </cell>
          <cell r="E176">
            <v>0</v>
          </cell>
          <cell r="F176">
            <v>-3600</v>
          </cell>
          <cell r="G176">
            <v>-3900</v>
          </cell>
          <cell r="H176">
            <v>48</v>
          </cell>
          <cell r="I176">
            <v>-9000</v>
          </cell>
          <cell r="J176">
            <v>-3600</v>
          </cell>
        </row>
        <row r="177">
          <cell r="A177">
            <v>1344400930</v>
          </cell>
          <cell r="B177" t="str">
            <v>הבראה לזקן</v>
          </cell>
          <cell r="C177">
            <v>-177430</v>
          </cell>
          <cell r="D177">
            <v>-376980</v>
          </cell>
          <cell r="E177">
            <v>0</v>
          </cell>
          <cell r="F177">
            <v>-376980</v>
          </cell>
          <cell r="G177">
            <v>199550</v>
          </cell>
          <cell r="H177">
            <v>212.46</v>
          </cell>
          <cell r="I177">
            <v>-213000</v>
          </cell>
          <cell r="J177">
            <v>-376980</v>
          </cell>
        </row>
        <row r="178">
          <cell r="A178">
            <v>1344410930</v>
          </cell>
          <cell r="B178" t="str">
            <v>צרכים מיוחדים לזקן</v>
          </cell>
          <cell r="C178">
            <v>0</v>
          </cell>
          <cell r="D178">
            <v>-107319</v>
          </cell>
          <cell r="E178">
            <v>0</v>
          </cell>
          <cell r="F178">
            <v>-107319</v>
          </cell>
          <cell r="G178">
            <v>107319</v>
          </cell>
          <cell r="H178">
            <v>0</v>
          </cell>
          <cell r="I178">
            <v>0</v>
          </cell>
          <cell r="J178">
            <v>-107319</v>
          </cell>
        </row>
        <row r="179">
          <cell r="A179">
            <v>1345100930</v>
          </cell>
          <cell r="B179" t="str">
            <v>סדור מפגרים במוסדות</v>
          </cell>
          <cell r="C179">
            <v>-358190</v>
          </cell>
          <cell r="D179">
            <v>-93382</v>
          </cell>
          <cell r="E179">
            <v>0</v>
          </cell>
          <cell r="F179">
            <v>-93382</v>
          </cell>
          <cell r="G179">
            <v>-264808</v>
          </cell>
          <cell r="H179">
            <v>26.07</v>
          </cell>
          <cell r="I179">
            <v>-430000</v>
          </cell>
          <cell r="J179">
            <v>-93382</v>
          </cell>
        </row>
        <row r="180">
          <cell r="A180">
            <v>1345200930</v>
          </cell>
          <cell r="B180" t="str">
            <v>מפגרים במעון אמוני+מעשי"ם</v>
          </cell>
          <cell r="C180">
            <v>-471480</v>
          </cell>
          <cell r="D180">
            <v>-359159</v>
          </cell>
          <cell r="E180">
            <v>0</v>
          </cell>
          <cell r="F180">
            <v>-359159</v>
          </cell>
          <cell r="G180">
            <v>-112321</v>
          </cell>
          <cell r="H180">
            <v>76.17</v>
          </cell>
          <cell r="I180">
            <v>-566000</v>
          </cell>
          <cell r="J180">
            <v>-359159</v>
          </cell>
        </row>
        <row r="181">
          <cell r="A181">
            <v>1345300930</v>
          </cell>
          <cell r="B181" t="str">
            <v>שרותים תומכים למפגר</v>
          </cell>
          <cell r="C181">
            <v>0</v>
          </cell>
          <cell r="D181">
            <v>-22341</v>
          </cell>
          <cell r="E181">
            <v>0</v>
          </cell>
          <cell r="F181">
            <v>-22341</v>
          </cell>
          <cell r="G181">
            <v>22341</v>
          </cell>
          <cell r="H181">
            <v>0</v>
          </cell>
          <cell r="I181">
            <v>0</v>
          </cell>
          <cell r="J181">
            <v>-22341</v>
          </cell>
        </row>
        <row r="182">
          <cell r="A182">
            <v>1345350930</v>
          </cell>
          <cell r="B182" t="str">
            <v>שיקום נכים בקהילה</v>
          </cell>
          <cell r="C182">
            <v>-15830</v>
          </cell>
          <cell r="D182">
            <v>-60322</v>
          </cell>
          <cell r="E182">
            <v>0</v>
          </cell>
          <cell r="F182">
            <v>-60322</v>
          </cell>
          <cell r="G182">
            <v>44492</v>
          </cell>
          <cell r="H182">
            <v>381.06</v>
          </cell>
          <cell r="I182">
            <v>-19000</v>
          </cell>
          <cell r="J182">
            <v>-60322</v>
          </cell>
        </row>
        <row r="183">
          <cell r="A183">
            <v>1345400930</v>
          </cell>
          <cell r="B183" t="str">
            <v>הסעות וליווי מ.יום למפגר</v>
          </cell>
          <cell r="C183">
            <v>-418170</v>
          </cell>
          <cell r="D183">
            <v>-340429</v>
          </cell>
          <cell r="E183">
            <v>0</v>
          </cell>
          <cell r="F183">
            <v>-340429</v>
          </cell>
          <cell r="G183">
            <v>-77741</v>
          </cell>
          <cell r="H183">
            <v>81.400000000000006</v>
          </cell>
          <cell r="I183">
            <v>-502000</v>
          </cell>
          <cell r="J183">
            <v>-340429</v>
          </cell>
        </row>
        <row r="184">
          <cell r="A184">
            <v>1346400930</v>
          </cell>
          <cell r="B184" t="str">
            <v>מפעלי תעסוקה</v>
          </cell>
          <cell r="C184">
            <v>-8330</v>
          </cell>
          <cell r="D184">
            <v>-8788</v>
          </cell>
          <cell r="E184">
            <v>0</v>
          </cell>
          <cell r="F184">
            <v>-8788</v>
          </cell>
          <cell r="G184">
            <v>458</v>
          </cell>
          <cell r="H184">
            <v>105.49</v>
          </cell>
          <cell r="I184">
            <v>-10000</v>
          </cell>
          <cell r="J184">
            <v>-8788</v>
          </cell>
        </row>
        <row r="185">
          <cell r="A185">
            <v>1346410930</v>
          </cell>
          <cell r="B185" t="str">
            <v>דמי תקשורת חרשים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1346610930</v>
          </cell>
          <cell r="B186" t="str">
            <v>מעדוניות משותפות</v>
          </cell>
          <cell r="C186">
            <v>-68310</v>
          </cell>
          <cell r="D186">
            <v>-69410</v>
          </cell>
          <cell r="E186">
            <v>0</v>
          </cell>
          <cell r="F186">
            <v>-69410</v>
          </cell>
          <cell r="G186">
            <v>1100</v>
          </cell>
          <cell r="H186">
            <v>101.61</v>
          </cell>
          <cell r="I186">
            <v>-82000</v>
          </cell>
          <cell r="J186">
            <v>-69410</v>
          </cell>
        </row>
        <row r="187">
          <cell r="A187">
            <v>1346700930</v>
          </cell>
          <cell r="B187" t="str">
            <v>נושמים לרווחה</v>
          </cell>
          <cell r="C187">
            <v>-33320</v>
          </cell>
          <cell r="D187">
            <v>-47932</v>
          </cell>
          <cell r="E187">
            <v>0</v>
          </cell>
          <cell r="F187">
            <v>-47932</v>
          </cell>
          <cell r="G187">
            <v>14612</v>
          </cell>
          <cell r="H187">
            <v>143.85</v>
          </cell>
          <cell r="I187">
            <v>-40000</v>
          </cell>
          <cell r="J187">
            <v>-47932</v>
          </cell>
        </row>
        <row r="188">
          <cell r="A188">
            <v>1346800930</v>
          </cell>
          <cell r="B188" t="str">
            <v>מפעלי שיקום</v>
          </cell>
          <cell r="C188">
            <v>-139110</v>
          </cell>
          <cell r="D188">
            <v>-126986</v>
          </cell>
          <cell r="E188">
            <v>0</v>
          </cell>
          <cell r="F188">
            <v>-126986</v>
          </cell>
          <cell r="G188">
            <v>-12124</v>
          </cell>
          <cell r="H188">
            <v>91.28</v>
          </cell>
          <cell r="I188">
            <v>-167000</v>
          </cell>
          <cell r="J188">
            <v>-126986</v>
          </cell>
        </row>
        <row r="189">
          <cell r="A189">
            <v>1347100930</v>
          </cell>
          <cell r="B189" t="str">
            <v>מעלים לנוער</v>
          </cell>
          <cell r="C189">
            <v>-3330</v>
          </cell>
          <cell r="D189">
            <v>-47178</v>
          </cell>
          <cell r="E189">
            <v>0</v>
          </cell>
          <cell r="F189">
            <v>-47178</v>
          </cell>
          <cell r="G189">
            <v>43848</v>
          </cell>
          <cell r="H189">
            <v>1416.75</v>
          </cell>
          <cell r="I189">
            <v>-4000</v>
          </cell>
          <cell r="J189">
            <v>-47178</v>
          </cell>
        </row>
        <row r="190">
          <cell r="A190">
            <v>1347200930</v>
          </cell>
          <cell r="B190" t="str">
            <v>מלב"ם ויזמות ברווחה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1347300990</v>
          </cell>
          <cell r="B191" t="str">
            <v>רשות מלחמה בסמים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>
            <v>1353000990</v>
          </cell>
          <cell r="B192" t="str">
            <v>שרותי דת מסלומים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>
            <v>1380000900</v>
          </cell>
          <cell r="B193" t="str">
            <v>משרד לבטחון פנים- שמירת בתי"ס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>
            <v>1381000900</v>
          </cell>
          <cell r="B194" t="str">
            <v>משרד לבטחון פנים עיר ללא אלימו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>
            <v>1413100410</v>
          </cell>
          <cell r="B195" t="str">
            <v>אגרת מים-צריכה</v>
          </cell>
          <cell r="C195">
            <v>-1843430</v>
          </cell>
          <cell r="D195">
            <v>-1547032.42</v>
          </cell>
          <cell r="E195">
            <v>0</v>
          </cell>
          <cell r="F195">
            <v>-1547032.42</v>
          </cell>
          <cell r="G195">
            <v>-296397.58</v>
          </cell>
          <cell r="H195">
            <v>83.92</v>
          </cell>
          <cell r="I195">
            <v>-2213000</v>
          </cell>
          <cell r="J195">
            <v>-1547032.42</v>
          </cell>
        </row>
        <row r="196">
          <cell r="A196">
            <v>1413110410</v>
          </cell>
          <cell r="B196" t="str">
            <v>צריכת מים פיגורים</v>
          </cell>
          <cell r="C196">
            <v>-1170370</v>
          </cell>
          <cell r="D196">
            <v>-113661.28</v>
          </cell>
          <cell r="E196">
            <v>0</v>
          </cell>
          <cell r="F196">
            <v>-113661.28</v>
          </cell>
          <cell r="G196">
            <v>-1056708.72</v>
          </cell>
          <cell r="H196">
            <v>9.7100000000000009</v>
          </cell>
          <cell r="I196">
            <v>-1405000</v>
          </cell>
          <cell r="J196">
            <v>-113661.28</v>
          </cell>
        </row>
        <row r="197">
          <cell r="A197">
            <v>1413111410</v>
          </cell>
          <cell r="B197" t="str">
            <v>מים פיגורים 2008</v>
          </cell>
          <cell r="C197">
            <v>-48310</v>
          </cell>
          <cell r="D197">
            <v>-665.12</v>
          </cell>
          <cell r="E197">
            <v>0</v>
          </cell>
          <cell r="F197">
            <v>-665.12</v>
          </cell>
          <cell r="G197">
            <v>-47644.88</v>
          </cell>
          <cell r="H197">
            <v>1.37</v>
          </cell>
          <cell r="I197">
            <v>-58000</v>
          </cell>
          <cell r="J197">
            <v>-665.12</v>
          </cell>
        </row>
        <row r="198">
          <cell r="A198">
            <v>1413112410</v>
          </cell>
          <cell r="B198" t="str">
            <v>מים פיגורים 2009</v>
          </cell>
          <cell r="C198">
            <v>-39980</v>
          </cell>
          <cell r="D198">
            <v>-87841.23</v>
          </cell>
          <cell r="E198">
            <v>0</v>
          </cell>
          <cell r="F198">
            <v>-87841.23</v>
          </cell>
          <cell r="G198">
            <v>47861.23</v>
          </cell>
          <cell r="H198">
            <v>219.71</v>
          </cell>
          <cell r="I198">
            <v>-48000</v>
          </cell>
          <cell r="J198">
            <v>-87841.23</v>
          </cell>
        </row>
        <row r="199">
          <cell r="A199">
            <v>1413113410</v>
          </cell>
          <cell r="B199" t="str">
            <v>מים פיגורים 2010</v>
          </cell>
          <cell r="C199">
            <v>-64970</v>
          </cell>
          <cell r="D199">
            <v>-19774.060000000001</v>
          </cell>
          <cell r="E199">
            <v>0</v>
          </cell>
          <cell r="F199">
            <v>-19774.060000000001</v>
          </cell>
          <cell r="G199">
            <v>-45195.94</v>
          </cell>
          <cell r="H199">
            <v>30.43</v>
          </cell>
          <cell r="I199">
            <v>-78000</v>
          </cell>
          <cell r="J199">
            <v>-19774.060000000001</v>
          </cell>
        </row>
        <row r="200">
          <cell r="A200">
            <v>1413114410</v>
          </cell>
          <cell r="B200" t="str">
            <v>מים פיגורים 2011</v>
          </cell>
          <cell r="C200">
            <v>-75800</v>
          </cell>
          <cell r="D200">
            <v>-15209.26</v>
          </cell>
          <cell r="E200">
            <v>0</v>
          </cell>
          <cell r="F200">
            <v>-15209.26</v>
          </cell>
          <cell r="G200">
            <v>-60590.74</v>
          </cell>
          <cell r="H200">
            <v>20.059999999999999</v>
          </cell>
          <cell r="I200">
            <v>-91000</v>
          </cell>
          <cell r="J200">
            <v>-15209.26</v>
          </cell>
        </row>
        <row r="201">
          <cell r="A201">
            <v>1413115410</v>
          </cell>
          <cell r="B201" t="str">
            <v>מים פיגורים 2012</v>
          </cell>
          <cell r="C201">
            <v>-61640</v>
          </cell>
          <cell r="D201">
            <v>-20213.150000000001</v>
          </cell>
          <cell r="E201">
            <v>0</v>
          </cell>
          <cell r="F201">
            <v>-20213.150000000001</v>
          </cell>
          <cell r="G201">
            <v>-41426.85</v>
          </cell>
          <cell r="H201">
            <v>32.79</v>
          </cell>
          <cell r="I201">
            <v>-74000</v>
          </cell>
          <cell r="J201">
            <v>-20213.150000000001</v>
          </cell>
        </row>
        <row r="202">
          <cell r="A202">
            <v>1413116410</v>
          </cell>
          <cell r="B202" t="str">
            <v>מים פיגורים 2013</v>
          </cell>
          <cell r="C202">
            <v>-106620</v>
          </cell>
          <cell r="D202">
            <v>-26086.76</v>
          </cell>
          <cell r="E202">
            <v>0</v>
          </cell>
          <cell r="F202">
            <v>-26086.76</v>
          </cell>
          <cell r="G202">
            <v>-80533.240000000005</v>
          </cell>
          <cell r="H202">
            <v>24.46</v>
          </cell>
          <cell r="I202">
            <v>-128000</v>
          </cell>
          <cell r="J202">
            <v>-26086.76</v>
          </cell>
        </row>
        <row r="203">
          <cell r="A203">
            <v>1413117410</v>
          </cell>
          <cell r="B203" t="str">
            <v>מים פיגורים 2014</v>
          </cell>
          <cell r="C203">
            <v>-300710</v>
          </cell>
          <cell r="D203">
            <v>-72558.63</v>
          </cell>
          <cell r="E203">
            <v>0</v>
          </cell>
          <cell r="F203">
            <v>-72558.63</v>
          </cell>
          <cell r="G203">
            <v>-228151.37</v>
          </cell>
          <cell r="H203">
            <v>24.12</v>
          </cell>
          <cell r="I203">
            <v>-361000</v>
          </cell>
          <cell r="J203">
            <v>-72558.63</v>
          </cell>
        </row>
        <row r="204">
          <cell r="A204">
            <v>1413118410</v>
          </cell>
          <cell r="B204" t="str">
            <v>מים פיגורים 2015</v>
          </cell>
          <cell r="C204">
            <v>0</v>
          </cell>
          <cell r="D204">
            <v>-104149.54</v>
          </cell>
          <cell r="E204">
            <v>0</v>
          </cell>
          <cell r="F204">
            <v>-104149.54</v>
          </cell>
          <cell r="G204">
            <v>104149.54</v>
          </cell>
          <cell r="H204">
            <v>0</v>
          </cell>
          <cell r="I204">
            <v>0</v>
          </cell>
          <cell r="J204">
            <v>-104149.54</v>
          </cell>
        </row>
        <row r="205">
          <cell r="A205">
            <v>1413119410</v>
          </cell>
          <cell r="B205" t="str">
            <v>מים פיגורים 2016</v>
          </cell>
          <cell r="C205">
            <v>0</v>
          </cell>
          <cell r="D205">
            <v>-651781.72</v>
          </cell>
          <cell r="E205">
            <v>0</v>
          </cell>
          <cell r="F205">
            <v>-651781.72</v>
          </cell>
          <cell r="G205">
            <v>651781.72</v>
          </cell>
          <cell r="H205">
            <v>0</v>
          </cell>
          <cell r="I205">
            <v>0</v>
          </cell>
          <cell r="J205">
            <v>-651781.72</v>
          </cell>
        </row>
        <row r="206">
          <cell r="A206">
            <v>1413120410</v>
          </cell>
          <cell r="B206" t="str">
            <v>היטל צריכה</v>
          </cell>
          <cell r="C206">
            <v>-4170</v>
          </cell>
          <cell r="D206">
            <v>-2471.52</v>
          </cell>
          <cell r="E206">
            <v>0</v>
          </cell>
          <cell r="F206">
            <v>-2471.52</v>
          </cell>
          <cell r="G206">
            <v>-1698.48</v>
          </cell>
          <cell r="H206">
            <v>59.26</v>
          </cell>
          <cell r="I206">
            <v>-5000</v>
          </cell>
          <cell r="J206">
            <v>-2471.52</v>
          </cell>
        </row>
        <row r="207">
          <cell r="A207">
            <v>1413130410</v>
          </cell>
          <cell r="B207" t="str">
            <v>החזר מים מקורות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1413200410</v>
          </cell>
          <cell r="B208" t="str">
            <v>מוני מים</v>
          </cell>
          <cell r="C208">
            <v>-12500</v>
          </cell>
          <cell r="D208">
            <v>-6428.77</v>
          </cell>
          <cell r="E208">
            <v>0</v>
          </cell>
          <cell r="F208">
            <v>-6428.77</v>
          </cell>
          <cell r="G208">
            <v>-6071.23</v>
          </cell>
          <cell r="H208">
            <v>51.43</v>
          </cell>
          <cell r="I208">
            <v>-15000</v>
          </cell>
          <cell r="J208">
            <v>-6428.77</v>
          </cell>
        </row>
        <row r="209">
          <cell r="A209">
            <v>1413300210</v>
          </cell>
          <cell r="B209" t="str">
            <v>מדי מים גבעה</v>
          </cell>
          <cell r="C209">
            <v>-10000</v>
          </cell>
          <cell r="D209">
            <v>-84401.12</v>
          </cell>
          <cell r="E209">
            <v>0</v>
          </cell>
          <cell r="F209">
            <v>-84401.12</v>
          </cell>
          <cell r="G209">
            <v>74401.119999999995</v>
          </cell>
          <cell r="H209">
            <v>844.01</v>
          </cell>
          <cell r="I209">
            <v>-12000</v>
          </cell>
          <cell r="J209">
            <v>-84401.12</v>
          </cell>
        </row>
        <row r="210">
          <cell r="A210">
            <v>1513000510</v>
          </cell>
          <cell r="B210" t="str">
            <v>החזר הוצ" שנים קודמות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1550000591</v>
          </cell>
          <cell r="B211" t="str">
            <v>הכנסות בלתי רגלים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1552000910</v>
          </cell>
          <cell r="B212" t="str">
            <v>מענק לכיסוי גרעון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1611000310</v>
          </cell>
          <cell r="B213" t="str">
            <v>פנסיה נבחרים</v>
          </cell>
          <cell r="C213">
            <v>0</v>
          </cell>
          <cell r="D213">
            <v>187473.55</v>
          </cell>
          <cell r="E213">
            <v>0</v>
          </cell>
          <cell r="F213">
            <v>187473.55</v>
          </cell>
          <cell r="G213">
            <v>-187473.55</v>
          </cell>
          <cell r="H213">
            <v>0</v>
          </cell>
          <cell r="I213">
            <v>0</v>
          </cell>
          <cell r="J213">
            <v>187473.55</v>
          </cell>
        </row>
        <row r="214">
          <cell r="A214">
            <v>1611100110</v>
          </cell>
          <cell r="B214" t="str">
            <v>משכורת</v>
          </cell>
          <cell r="C214">
            <v>976280</v>
          </cell>
          <cell r="D214">
            <v>1020928.08</v>
          </cell>
          <cell r="E214">
            <v>0</v>
          </cell>
          <cell r="F214">
            <v>1020928.08</v>
          </cell>
          <cell r="G214">
            <v>-44648.08</v>
          </cell>
          <cell r="H214">
            <v>104.57</v>
          </cell>
          <cell r="I214">
            <v>1172000</v>
          </cell>
          <cell r="J214">
            <v>1020928.08</v>
          </cell>
        </row>
        <row r="215">
          <cell r="A215">
            <v>1611100310</v>
          </cell>
          <cell r="B215" t="str">
            <v>משכורת</v>
          </cell>
          <cell r="C215">
            <v>624750</v>
          </cell>
          <cell r="D215">
            <v>312465.09999999998</v>
          </cell>
          <cell r="E215">
            <v>0</v>
          </cell>
          <cell r="F215">
            <v>312465.09999999998</v>
          </cell>
          <cell r="G215">
            <v>312284.90000000002</v>
          </cell>
          <cell r="H215">
            <v>50.01</v>
          </cell>
          <cell r="I215">
            <v>750000</v>
          </cell>
          <cell r="J215">
            <v>312465.09999999998</v>
          </cell>
        </row>
        <row r="216">
          <cell r="A216">
            <v>1611100440</v>
          </cell>
          <cell r="B216" t="str">
            <v>ביטוחים</v>
          </cell>
          <cell r="C216">
            <v>15830</v>
          </cell>
          <cell r="D216">
            <v>0</v>
          </cell>
          <cell r="E216">
            <v>0</v>
          </cell>
          <cell r="F216">
            <v>0</v>
          </cell>
          <cell r="G216">
            <v>15830</v>
          </cell>
          <cell r="H216">
            <v>0</v>
          </cell>
          <cell r="I216">
            <v>19000</v>
          </cell>
          <cell r="J216">
            <v>0</v>
          </cell>
        </row>
        <row r="217">
          <cell r="A217">
            <v>1611100510</v>
          </cell>
          <cell r="B217" t="str">
            <v>כיבודים ואירוח</v>
          </cell>
          <cell r="C217">
            <v>3330</v>
          </cell>
          <cell r="D217">
            <v>0</v>
          </cell>
          <cell r="E217">
            <v>0</v>
          </cell>
          <cell r="F217">
            <v>0</v>
          </cell>
          <cell r="G217">
            <v>3330</v>
          </cell>
          <cell r="H217">
            <v>0</v>
          </cell>
          <cell r="I217">
            <v>4000</v>
          </cell>
          <cell r="J217">
            <v>0</v>
          </cell>
        </row>
        <row r="218">
          <cell r="A218">
            <v>1611100514</v>
          </cell>
          <cell r="B218" t="str">
            <v>החזר מתנות</v>
          </cell>
          <cell r="C218">
            <v>13330</v>
          </cell>
          <cell r="D218">
            <v>0</v>
          </cell>
          <cell r="E218">
            <v>0</v>
          </cell>
          <cell r="F218">
            <v>0</v>
          </cell>
          <cell r="G218">
            <v>13330</v>
          </cell>
          <cell r="H218">
            <v>0</v>
          </cell>
          <cell r="I218">
            <v>16000</v>
          </cell>
          <cell r="J218">
            <v>0</v>
          </cell>
        </row>
        <row r="219">
          <cell r="A219">
            <v>1611100521</v>
          </cell>
          <cell r="B219" t="str">
            <v>השתלמויות</v>
          </cell>
          <cell r="C219">
            <v>0</v>
          </cell>
          <cell r="D219">
            <v>2000</v>
          </cell>
          <cell r="E219">
            <v>0</v>
          </cell>
          <cell r="F219">
            <v>2000</v>
          </cell>
          <cell r="G219">
            <v>-2000</v>
          </cell>
          <cell r="H219">
            <v>0</v>
          </cell>
          <cell r="I219">
            <v>0</v>
          </cell>
          <cell r="J219">
            <v>2000</v>
          </cell>
        </row>
        <row r="220">
          <cell r="A220">
            <v>1611100525</v>
          </cell>
          <cell r="B220" t="str">
            <v>אבטחת יו"ר מאויים6</v>
          </cell>
          <cell r="C220">
            <v>0</v>
          </cell>
          <cell r="D220">
            <v>97670</v>
          </cell>
          <cell r="E220">
            <v>0</v>
          </cell>
          <cell r="F220">
            <v>97670</v>
          </cell>
          <cell r="G220">
            <v>-97670</v>
          </cell>
          <cell r="H220">
            <v>0</v>
          </cell>
          <cell r="I220">
            <v>0</v>
          </cell>
          <cell r="J220">
            <v>97670</v>
          </cell>
        </row>
        <row r="221">
          <cell r="A221">
            <v>1611100531</v>
          </cell>
          <cell r="B221" t="str">
            <v>רכב</v>
          </cell>
          <cell r="C221">
            <v>0</v>
          </cell>
          <cell r="D221">
            <v>42395</v>
          </cell>
          <cell r="E221">
            <v>0</v>
          </cell>
          <cell r="F221">
            <v>42395</v>
          </cell>
          <cell r="G221">
            <v>-42395</v>
          </cell>
          <cell r="H221">
            <v>0</v>
          </cell>
          <cell r="I221">
            <v>0</v>
          </cell>
          <cell r="J221">
            <v>42395</v>
          </cell>
        </row>
        <row r="222">
          <cell r="A222">
            <v>1611100540</v>
          </cell>
          <cell r="B222" t="str">
            <v>טלפונים הוצ</v>
          </cell>
          <cell r="C222">
            <v>10000</v>
          </cell>
          <cell r="D222">
            <v>36994.410000000003</v>
          </cell>
          <cell r="E222">
            <v>0</v>
          </cell>
          <cell r="F222">
            <v>36994.410000000003</v>
          </cell>
          <cell r="G222">
            <v>-26994.41</v>
          </cell>
          <cell r="H222">
            <v>369.94</v>
          </cell>
          <cell r="I222">
            <v>12000</v>
          </cell>
          <cell r="J222">
            <v>36994.410000000003</v>
          </cell>
        </row>
        <row r="223">
          <cell r="A223">
            <v>1611100550</v>
          </cell>
          <cell r="B223" t="str">
            <v>מחשוב לשכת ראש מועצה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1611100810</v>
          </cell>
          <cell r="B224" t="str">
            <v>ועד ארצי לראשי רשיות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1611100910</v>
          </cell>
          <cell r="B225" t="str">
            <v>השתתפות בתב"ר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1611120110</v>
          </cell>
          <cell r="B226" t="str">
            <v>יועץ לראש המועצה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1611130110</v>
          </cell>
          <cell r="B227" t="str">
            <v>נהג ליו"ר ופקיד שליחיות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28">
          <cell r="A228">
            <v>1611200110</v>
          </cell>
          <cell r="B228" t="str">
            <v>משכורת שרתים מועצה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1612000310</v>
          </cell>
          <cell r="B229" t="str">
            <v>פנסיונרים</v>
          </cell>
          <cell r="C229">
            <v>573100</v>
          </cell>
          <cell r="D229">
            <v>689831.22</v>
          </cell>
          <cell r="E229">
            <v>0</v>
          </cell>
          <cell r="F229">
            <v>689831.22</v>
          </cell>
          <cell r="G229">
            <v>-116731.22</v>
          </cell>
          <cell r="H229">
            <v>120.36</v>
          </cell>
          <cell r="I229">
            <v>688000</v>
          </cell>
          <cell r="J229">
            <v>689831.22</v>
          </cell>
        </row>
        <row r="230">
          <cell r="A230">
            <v>1612000521</v>
          </cell>
          <cell r="B230" t="str">
            <v>השתלמות פנסיונרים</v>
          </cell>
          <cell r="C230">
            <v>7500</v>
          </cell>
          <cell r="D230">
            <v>0</v>
          </cell>
          <cell r="E230">
            <v>0</v>
          </cell>
          <cell r="F230">
            <v>0</v>
          </cell>
          <cell r="G230">
            <v>7500</v>
          </cell>
          <cell r="H230">
            <v>0</v>
          </cell>
          <cell r="I230">
            <v>9000</v>
          </cell>
          <cell r="J230">
            <v>0</v>
          </cell>
        </row>
        <row r="231">
          <cell r="A231">
            <v>1612100110</v>
          </cell>
          <cell r="B231" t="str">
            <v>מבקר פנים</v>
          </cell>
          <cell r="C231">
            <v>205750</v>
          </cell>
          <cell r="D231">
            <v>163358.16</v>
          </cell>
          <cell r="E231">
            <v>0</v>
          </cell>
          <cell r="F231">
            <v>163358.16</v>
          </cell>
          <cell r="G231">
            <v>42391.839999999997</v>
          </cell>
          <cell r="H231">
            <v>79.39</v>
          </cell>
          <cell r="I231">
            <v>247000</v>
          </cell>
          <cell r="J231">
            <v>163358.16</v>
          </cell>
        </row>
        <row r="232">
          <cell r="A232">
            <v>1612200110</v>
          </cell>
          <cell r="B232" t="str">
            <v>יועץ משפטי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>
            <v>1613000110</v>
          </cell>
          <cell r="B233" t="str">
            <v>שכר מזכיר המועצה</v>
          </cell>
          <cell r="C233">
            <v>332370</v>
          </cell>
          <cell r="D233">
            <v>242681.2</v>
          </cell>
          <cell r="E233">
            <v>0</v>
          </cell>
          <cell r="F233">
            <v>242681.2</v>
          </cell>
          <cell r="G233">
            <v>89688.8</v>
          </cell>
          <cell r="H233">
            <v>73.010000000000005</v>
          </cell>
          <cell r="I233">
            <v>399000</v>
          </cell>
          <cell r="J233">
            <v>242681.2</v>
          </cell>
        </row>
        <row r="234">
          <cell r="A234">
            <v>1613000400</v>
          </cell>
          <cell r="B234" t="str">
            <v>אחזקת בנינים</v>
          </cell>
          <cell r="C234">
            <v>5000</v>
          </cell>
          <cell r="D234">
            <v>12098.63</v>
          </cell>
          <cell r="E234">
            <v>0</v>
          </cell>
          <cell r="F234">
            <v>12098.63</v>
          </cell>
          <cell r="G234">
            <v>-7098.63</v>
          </cell>
          <cell r="H234">
            <v>241.97</v>
          </cell>
          <cell r="I234">
            <v>6000</v>
          </cell>
          <cell r="J234">
            <v>18710.63</v>
          </cell>
        </row>
        <row r="235">
          <cell r="A235">
            <v>1613000431</v>
          </cell>
          <cell r="B235" t="str">
            <v>חשמל למועצה</v>
          </cell>
          <cell r="C235">
            <v>14990</v>
          </cell>
          <cell r="D235">
            <v>8210.44</v>
          </cell>
          <cell r="E235">
            <v>0</v>
          </cell>
          <cell r="F235">
            <v>8210.44</v>
          </cell>
          <cell r="G235">
            <v>6779.56</v>
          </cell>
          <cell r="H235">
            <v>54.77</v>
          </cell>
          <cell r="I235">
            <v>18000</v>
          </cell>
          <cell r="J235">
            <v>18051.75</v>
          </cell>
        </row>
        <row r="236">
          <cell r="A236">
            <v>1613000432</v>
          </cell>
          <cell r="B236" t="str">
            <v>מים למועצה</v>
          </cell>
          <cell r="C236">
            <v>14990</v>
          </cell>
          <cell r="D236">
            <v>0</v>
          </cell>
          <cell r="E236">
            <v>0</v>
          </cell>
          <cell r="F236">
            <v>0</v>
          </cell>
          <cell r="G236">
            <v>14990</v>
          </cell>
          <cell r="H236">
            <v>0</v>
          </cell>
          <cell r="I236">
            <v>18000</v>
          </cell>
          <cell r="J236">
            <v>0</v>
          </cell>
        </row>
        <row r="237">
          <cell r="A237">
            <v>1613000433</v>
          </cell>
          <cell r="B237" t="str">
            <v>חומרי ניקוי וציוד</v>
          </cell>
          <cell r="C237">
            <v>6660</v>
          </cell>
          <cell r="D237">
            <v>11901</v>
          </cell>
          <cell r="E237">
            <v>0</v>
          </cell>
          <cell r="F237">
            <v>11901</v>
          </cell>
          <cell r="G237">
            <v>-5241</v>
          </cell>
          <cell r="H237">
            <v>178.69</v>
          </cell>
          <cell r="I237">
            <v>8000</v>
          </cell>
          <cell r="J237">
            <v>11901</v>
          </cell>
        </row>
        <row r="238">
          <cell r="A238">
            <v>1613000440</v>
          </cell>
          <cell r="B238" t="str">
            <v>ביטוחים</v>
          </cell>
          <cell r="C238">
            <v>160770</v>
          </cell>
          <cell r="D238">
            <v>409000</v>
          </cell>
          <cell r="E238">
            <v>0</v>
          </cell>
          <cell r="F238">
            <v>409000</v>
          </cell>
          <cell r="G238">
            <v>-248230</v>
          </cell>
          <cell r="H238">
            <v>254.4</v>
          </cell>
          <cell r="I238">
            <v>193000</v>
          </cell>
          <cell r="J238">
            <v>409000</v>
          </cell>
        </row>
        <row r="239">
          <cell r="A239">
            <v>1613000450</v>
          </cell>
          <cell r="B239" t="str">
            <v>רהוט והחזקתו</v>
          </cell>
          <cell r="C239">
            <v>0</v>
          </cell>
          <cell r="D239">
            <v>15584.4</v>
          </cell>
          <cell r="E239">
            <v>0</v>
          </cell>
          <cell r="F239">
            <v>15584.4</v>
          </cell>
          <cell r="G239">
            <v>-15584.4</v>
          </cell>
          <cell r="H239">
            <v>0</v>
          </cell>
          <cell r="I239">
            <v>0</v>
          </cell>
          <cell r="J239">
            <v>15584.4</v>
          </cell>
        </row>
        <row r="240">
          <cell r="A240">
            <v>1613000460</v>
          </cell>
          <cell r="B240" t="str">
            <v>מכשירי כתיבה והדפס</v>
          </cell>
          <cell r="C240">
            <v>14160</v>
          </cell>
          <cell r="D240">
            <v>19468.8</v>
          </cell>
          <cell r="E240">
            <v>6483.2</v>
          </cell>
          <cell r="F240">
            <v>25952</v>
          </cell>
          <cell r="G240">
            <v>-11792</v>
          </cell>
          <cell r="H240">
            <v>183.27</v>
          </cell>
          <cell r="I240">
            <v>17000</v>
          </cell>
          <cell r="J240">
            <v>19468.8</v>
          </cell>
        </row>
        <row r="241">
          <cell r="A241">
            <v>1613000470</v>
          </cell>
          <cell r="B241" t="str">
            <v>מכונות משרד והחזקת</v>
          </cell>
          <cell r="C241">
            <v>10000</v>
          </cell>
          <cell r="D241">
            <v>9765.39</v>
          </cell>
          <cell r="E241">
            <v>2000</v>
          </cell>
          <cell r="F241">
            <v>11765.39</v>
          </cell>
          <cell r="G241">
            <v>-1765.39</v>
          </cell>
          <cell r="H241">
            <v>117.65</v>
          </cell>
          <cell r="I241">
            <v>12000</v>
          </cell>
          <cell r="J241">
            <v>9765.39</v>
          </cell>
        </row>
        <row r="242">
          <cell r="A242">
            <v>1613000510</v>
          </cell>
          <cell r="B242" t="str">
            <v>כיבודים למועצה</v>
          </cell>
          <cell r="C242">
            <v>17490</v>
          </cell>
          <cell r="D242">
            <v>25766</v>
          </cell>
          <cell r="E242">
            <v>9087.5</v>
          </cell>
          <cell r="F242">
            <v>34853.5</v>
          </cell>
          <cell r="G242">
            <v>-17363.5</v>
          </cell>
          <cell r="H242">
            <v>199.27</v>
          </cell>
          <cell r="I242">
            <v>21000</v>
          </cell>
          <cell r="J242">
            <v>25766</v>
          </cell>
        </row>
        <row r="243">
          <cell r="A243">
            <v>1613000521</v>
          </cell>
          <cell r="B243" t="str">
            <v>השתלמויות</v>
          </cell>
          <cell r="C243">
            <v>56640</v>
          </cell>
          <cell r="D243">
            <v>85530</v>
          </cell>
          <cell r="E243">
            <v>0</v>
          </cell>
          <cell r="F243">
            <v>85530</v>
          </cell>
          <cell r="G243">
            <v>-28890</v>
          </cell>
          <cell r="H243">
            <v>151</v>
          </cell>
          <cell r="I243">
            <v>68000</v>
          </cell>
          <cell r="J243">
            <v>85530</v>
          </cell>
        </row>
        <row r="244">
          <cell r="A244">
            <v>1613000522</v>
          </cell>
          <cell r="B244" t="str">
            <v>ספרות מקצועית</v>
          </cell>
          <cell r="C244">
            <v>0</v>
          </cell>
          <cell r="D244">
            <v>1733</v>
          </cell>
          <cell r="E244">
            <v>0</v>
          </cell>
          <cell r="F244">
            <v>1733</v>
          </cell>
          <cell r="G244">
            <v>-1733</v>
          </cell>
          <cell r="H244">
            <v>0</v>
          </cell>
          <cell r="I244">
            <v>0</v>
          </cell>
          <cell r="J244">
            <v>1733</v>
          </cell>
        </row>
        <row r="245">
          <cell r="A245">
            <v>1613000540</v>
          </cell>
          <cell r="B245" t="str">
            <v>תקשורת</v>
          </cell>
          <cell r="C245">
            <v>59980</v>
          </cell>
          <cell r="D245">
            <v>19165.189999999999</v>
          </cell>
          <cell r="E245">
            <v>800</v>
          </cell>
          <cell r="F245">
            <v>19965.189999999999</v>
          </cell>
          <cell r="G245">
            <v>40014.81</v>
          </cell>
          <cell r="H245">
            <v>33.28</v>
          </cell>
          <cell r="I245">
            <v>72000</v>
          </cell>
          <cell r="J245">
            <v>19165.189999999999</v>
          </cell>
        </row>
        <row r="246">
          <cell r="A246">
            <v>1613000550</v>
          </cell>
          <cell r="B246" t="str">
            <v>פרסומים</v>
          </cell>
          <cell r="C246">
            <v>15830</v>
          </cell>
          <cell r="D246">
            <v>83080.5</v>
          </cell>
          <cell r="E246">
            <v>16680.599999999999</v>
          </cell>
          <cell r="F246">
            <v>99761.1</v>
          </cell>
          <cell r="G246">
            <v>-83931.1</v>
          </cell>
          <cell r="H246">
            <v>630.20000000000005</v>
          </cell>
          <cell r="I246">
            <v>19000</v>
          </cell>
          <cell r="J246">
            <v>85224</v>
          </cell>
        </row>
        <row r="247">
          <cell r="A247">
            <v>1613000560</v>
          </cell>
          <cell r="B247" t="str">
            <v>משרדיות</v>
          </cell>
          <cell r="C247">
            <v>29160</v>
          </cell>
          <cell r="D247">
            <v>19699</v>
          </cell>
          <cell r="E247">
            <v>0</v>
          </cell>
          <cell r="F247">
            <v>19699</v>
          </cell>
          <cell r="G247">
            <v>9461</v>
          </cell>
          <cell r="H247">
            <v>67.55</v>
          </cell>
          <cell r="I247">
            <v>35000</v>
          </cell>
          <cell r="J247">
            <v>26637</v>
          </cell>
        </row>
        <row r="248">
          <cell r="A248">
            <v>1613000570</v>
          </cell>
          <cell r="B248" t="str">
            <v>מיכון ועיבוד נתונים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1613000930</v>
          </cell>
          <cell r="B249" t="str">
            <v>ציוד יסודי</v>
          </cell>
          <cell r="C249">
            <v>16660</v>
          </cell>
          <cell r="D249">
            <v>638</v>
          </cell>
          <cell r="E249">
            <v>0</v>
          </cell>
          <cell r="F249">
            <v>638</v>
          </cell>
          <cell r="G249">
            <v>16022</v>
          </cell>
          <cell r="H249">
            <v>3.82</v>
          </cell>
          <cell r="I249">
            <v>20000</v>
          </cell>
          <cell r="J249">
            <v>2616</v>
          </cell>
        </row>
        <row r="250">
          <cell r="A250">
            <v>1613100110</v>
          </cell>
          <cell r="B250" t="str">
            <v>הוצ משכורת מזכירות מועצה</v>
          </cell>
          <cell r="C250">
            <v>307380</v>
          </cell>
          <cell r="D250">
            <v>195581.44</v>
          </cell>
          <cell r="E250">
            <v>0</v>
          </cell>
          <cell r="F250">
            <v>195581.44</v>
          </cell>
          <cell r="G250">
            <v>111798.56</v>
          </cell>
          <cell r="H250">
            <v>63.62</v>
          </cell>
          <cell r="I250">
            <v>369000</v>
          </cell>
          <cell r="J250">
            <v>195581.44</v>
          </cell>
        </row>
        <row r="251">
          <cell r="A251">
            <v>1616100521</v>
          </cell>
          <cell r="B251" t="str">
            <v>השתלמויות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1616100810</v>
          </cell>
          <cell r="B252" t="str">
            <v>השתלמיות</v>
          </cell>
          <cell r="C252">
            <v>10000</v>
          </cell>
          <cell r="D252">
            <v>0</v>
          </cell>
          <cell r="E252">
            <v>0</v>
          </cell>
          <cell r="F252">
            <v>0</v>
          </cell>
          <cell r="G252">
            <v>10000</v>
          </cell>
          <cell r="H252">
            <v>0</v>
          </cell>
          <cell r="I252">
            <v>12000</v>
          </cell>
          <cell r="J252">
            <v>5700</v>
          </cell>
        </row>
        <row r="253">
          <cell r="A253">
            <v>1617000620</v>
          </cell>
          <cell r="B253" t="str">
            <v>הוצאות משפטיות</v>
          </cell>
          <cell r="C253">
            <v>83300</v>
          </cell>
          <cell r="D253">
            <v>105345.86</v>
          </cell>
          <cell r="E253">
            <v>0</v>
          </cell>
          <cell r="F253">
            <v>105345.86</v>
          </cell>
          <cell r="G253">
            <v>-22045.86</v>
          </cell>
          <cell r="H253">
            <v>126.46</v>
          </cell>
          <cell r="I253">
            <v>100000</v>
          </cell>
          <cell r="J253">
            <v>108153.86</v>
          </cell>
        </row>
        <row r="254">
          <cell r="A254">
            <v>1617000750</v>
          </cell>
          <cell r="B254" t="str">
            <v>יעוץ משפטי</v>
          </cell>
          <cell r="C254">
            <v>186590</v>
          </cell>
          <cell r="D254">
            <v>223410</v>
          </cell>
          <cell r="E254">
            <v>0</v>
          </cell>
          <cell r="F254">
            <v>223410</v>
          </cell>
          <cell r="G254">
            <v>-36820</v>
          </cell>
          <cell r="H254">
            <v>119.73</v>
          </cell>
          <cell r="I254">
            <v>224000</v>
          </cell>
          <cell r="J254">
            <v>246410</v>
          </cell>
        </row>
        <row r="255">
          <cell r="A255">
            <v>1617000980</v>
          </cell>
          <cell r="B255" t="str">
            <v>משפטיות</v>
          </cell>
          <cell r="C255">
            <v>2500</v>
          </cell>
          <cell r="D255">
            <v>30000</v>
          </cell>
          <cell r="E255">
            <v>0</v>
          </cell>
          <cell r="F255">
            <v>30000</v>
          </cell>
          <cell r="G255">
            <v>-27500</v>
          </cell>
          <cell r="H255">
            <v>1200</v>
          </cell>
          <cell r="I255">
            <v>3000</v>
          </cell>
          <cell r="J255">
            <v>30000</v>
          </cell>
        </row>
        <row r="256">
          <cell r="A256">
            <v>1618000780</v>
          </cell>
          <cell r="B256" t="str">
            <v>העמותה לקידום מקצועי</v>
          </cell>
          <cell r="C256">
            <v>58310</v>
          </cell>
          <cell r="D256">
            <v>0</v>
          </cell>
          <cell r="E256">
            <v>0</v>
          </cell>
          <cell r="F256">
            <v>0</v>
          </cell>
          <cell r="G256">
            <v>58310</v>
          </cell>
          <cell r="H256">
            <v>0</v>
          </cell>
          <cell r="I256">
            <v>70000</v>
          </cell>
          <cell r="J256">
            <v>0</v>
          </cell>
        </row>
        <row r="257">
          <cell r="A257">
            <v>1619000580</v>
          </cell>
          <cell r="B257" t="str">
            <v>הוצ" בחירות ברישות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A258">
            <v>1621000110</v>
          </cell>
          <cell r="B258" t="str">
            <v>משכורת</v>
          </cell>
          <cell r="C258">
            <v>568940</v>
          </cell>
          <cell r="D258">
            <v>519009.27</v>
          </cell>
          <cell r="E258">
            <v>0</v>
          </cell>
          <cell r="F258">
            <v>519009.27</v>
          </cell>
          <cell r="G258">
            <v>49930.73</v>
          </cell>
          <cell r="H258">
            <v>91.22</v>
          </cell>
          <cell r="I258">
            <v>683000</v>
          </cell>
          <cell r="J258">
            <v>519009.27</v>
          </cell>
        </row>
        <row r="259">
          <cell r="A259">
            <v>1621000521</v>
          </cell>
          <cell r="B259" t="str">
            <v>השתלמיות גזברות</v>
          </cell>
          <cell r="C259">
            <v>5000</v>
          </cell>
          <cell r="D259">
            <v>4950</v>
          </cell>
          <cell r="E259">
            <v>0</v>
          </cell>
          <cell r="F259">
            <v>4950</v>
          </cell>
          <cell r="G259">
            <v>50</v>
          </cell>
          <cell r="H259">
            <v>99</v>
          </cell>
          <cell r="I259">
            <v>6000</v>
          </cell>
          <cell r="J259">
            <v>4950</v>
          </cell>
        </row>
        <row r="260">
          <cell r="A260">
            <v>1621000540</v>
          </cell>
          <cell r="B260" t="str">
            <v>הוצ תקשורת</v>
          </cell>
          <cell r="C260">
            <v>830</v>
          </cell>
          <cell r="D260">
            <v>0</v>
          </cell>
          <cell r="E260">
            <v>0</v>
          </cell>
          <cell r="F260">
            <v>0</v>
          </cell>
          <cell r="G260">
            <v>830</v>
          </cell>
          <cell r="H260">
            <v>0</v>
          </cell>
          <cell r="I260">
            <v>1000</v>
          </cell>
          <cell r="J260">
            <v>0</v>
          </cell>
        </row>
        <row r="261">
          <cell r="A261">
            <v>1621000750</v>
          </cell>
          <cell r="B261" t="str">
            <v>עבודות קבלניות</v>
          </cell>
          <cell r="C261">
            <v>118290</v>
          </cell>
          <cell r="D261">
            <v>93447</v>
          </cell>
          <cell r="E261">
            <v>0</v>
          </cell>
          <cell r="F261">
            <v>93447</v>
          </cell>
          <cell r="G261">
            <v>24843</v>
          </cell>
          <cell r="H261">
            <v>78.989999999999995</v>
          </cell>
          <cell r="I261">
            <v>142000</v>
          </cell>
          <cell r="J261">
            <v>93447</v>
          </cell>
        </row>
        <row r="262">
          <cell r="A262">
            <v>1621100110</v>
          </cell>
          <cell r="B262" t="str">
            <v>מ.מ/ עוזר לגזבר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1621100523</v>
          </cell>
          <cell r="B263" t="str">
            <v>דמי  חבר במרכז השלטון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>
            <v>1621100810</v>
          </cell>
          <cell r="B264" t="str">
            <v>דמי חבר במרכז השלטון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>
            <v>1621130110</v>
          </cell>
          <cell r="B265" t="str">
            <v>משכורת קופאית</v>
          </cell>
          <cell r="C265">
            <v>107460</v>
          </cell>
          <cell r="D265">
            <v>95161.8</v>
          </cell>
          <cell r="E265">
            <v>0</v>
          </cell>
          <cell r="F265">
            <v>95161.8</v>
          </cell>
          <cell r="G265">
            <v>12298.2</v>
          </cell>
          <cell r="H265">
            <v>88.55</v>
          </cell>
          <cell r="I265">
            <v>129000</v>
          </cell>
          <cell r="J265">
            <v>95161.8</v>
          </cell>
        </row>
        <row r="266">
          <cell r="A266">
            <v>1621300110</v>
          </cell>
          <cell r="B266" t="str">
            <v>משכורת</v>
          </cell>
          <cell r="C266">
            <v>118290</v>
          </cell>
          <cell r="D266">
            <v>130477.56</v>
          </cell>
          <cell r="E266">
            <v>0</v>
          </cell>
          <cell r="F266">
            <v>130477.56</v>
          </cell>
          <cell r="G266">
            <v>-12187.56</v>
          </cell>
          <cell r="H266">
            <v>110.3</v>
          </cell>
          <cell r="I266">
            <v>142000</v>
          </cell>
          <cell r="J266">
            <v>130477.56</v>
          </cell>
        </row>
        <row r="267">
          <cell r="A267">
            <v>1621300521</v>
          </cell>
          <cell r="B267" t="str">
            <v>השתלמויות</v>
          </cell>
          <cell r="C267">
            <v>3330</v>
          </cell>
          <cell r="D267">
            <v>0</v>
          </cell>
          <cell r="E267">
            <v>0</v>
          </cell>
          <cell r="F267">
            <v>0</v>
          </cell>
          <cell r="G267">
            <v>3330</v>
          </cell>
          <cell r="H267">
            <v>0</v>
          </cell>
          <cell r="I267">
            <v>4000</v>
          </cell>
          <cell r="J267">
            <v>0</v>
          </cell>
        </row>
        <row r="268">
          <cell r="A268">
            <v>1621300570</v>
          </cell>
          <cell r="B268" t="str">
            <v>אוטומאציה</v>
          </cell>
          <cell r="C268">
            <v>217410</v>
          </cell>
          <cell r="D268">
            <v>228885.87</v>
          </cell>
          <cell r="E268">
            <v>0</v>
          </cell>
          <cell r="F268">
            <v>228885.87</v>
          </cell>
          <cell r="G268">
            <v>-11475.87</v>
          </cell>
          <cell r="H268">
            <v>105.27</v>
          </cell>
          <cell r="I268">
            <v>261000</v>
          </cell>
          <cell r="J268">
            <v>228885.87</v>
          </cell>
        </row>
        <row r="269">
          <cell r="A269">
            <v>1621500110</v>
          </cell>
          <cell r="B269" t="str">
            <v>חשב שכר</v>
          </cell>
          <cell r="C269">
            <v>83300</v>
          </cell>
          <cell r="D269">
            <v>74893.94</v>
          </cell>
          <cell r="E269">
            <v>0</v>
          </cell>
          <cell r="F269">
            <v>74893.94</v>
          </cell>
          <cell r="G269">
            <v>8406.06</v>
          </cell>
          <cell r="H269">
            <v>89.9</v>
          </cell>
          <cell r="I269">
            <v>100000</v>
          </cell>
          <cell r="J269">
            <v>74893.94</v>
          </cell>
        </row>
        <row r="270">
          <cell r="A270">
            <v>1621600110</v>
          </cell>
          <cell r="B270" t="str">
            <v>קניין מועצה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>
            <v>1623000110</v>
          </cell>
          <cell r="B271" t="str">
            <v>משכורת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1623000750</v>
          </cell>
          <cell r="B272" t="str">
            <v>חברת גביה עמלות גביה</v>
          </cell>
          <cell r="C272">
            <v>458150</v>
          </cell>
          <cell r="D272">
            <v>355922.14</v>
          </cell>
          <cell r="E272">
            <v>0</v>
          </cell>
          <cell r="F272">
            <v>355922.14</v>
          </cell>
          <cell r="G272">
            <v>102227.86</v>
          </cell>
          <cell r="H272">
            <v>77.680000000000007</v>
          </cell>
          <cell r="I272">
            <v>550000</v>
          </cell>
          <cell r="J272">
            <v>355922.14</v>
          </cell>
        </row>
        <row r="273">
          <cell r="A273">
            <v>1623100110</v>
          </cell>
          <cell r="B273" t="str">
            <v>הוצ משכורת</v>
          </cell>
          <cell r="C273">
            <v>55810</v>
          </cell>
          <cell r="D273">
            <v>88423.46</v>
          </cell>
          <cell r="E273">
            <v>0</v>
          </cell>
          <cell r="F273">
            <v>88423.46</v>
          </cell>
          <cell r="G273">
            <v>-32613.46</v>
          </cell>
          <cell r="H273">
            <v>158.43</v>
          </cell>
          <cell r="I273">
            <v>67000</v>
          </cell>
          <cell r="J273">
            <v>88423.46</v>
          </cell>
        </row>
        <row r="274">
          <cell r="A274">
            <v>1631000610</v>
          </cell>
          <cell r="B274" t="str">
            <v>עמלות</v>
          </cell>
          <cell r="C274">
            <v>122450</v>
          </cell>
          <cell r="D274">
            <v>135553.54</v>
          </cell>
          <cell r="E274">
            <v>0</v>
          </cell>
          <cell r="F274">
            <v>135553.54</v>
          </cell>
          <cell r="G274">
            <v>-13103.54</v>
          </cell>
          <cell r="H274">
            <v>110.7</v>
          </cell>
          <cell r="I274">
            <v>147000</v>
          </cell>
          <cell r="J274">
            <v>135553.54</v>
          </cell>
        </row>
        <row r="275">
          <cell r="A275">
            <v>1632000620</v>
          </cell>
          <cell r="B275" t="str">
            <v>ריבית</v>
          </cell>
          <cell r="C275">
            <v>2500</v>
          </cell>
          <cell r="D275">
            <v>-929.32</v>
          </cell>
          <cell r="E275">
            <v>0</v>
          </cell>
          <cell r="F275">
            <v>-929.32</v>
          </cell>
          <cell r="G275">
            <v>3429.32</v>
          </cell>
          <cell r="H275">
            <v>-37.17</v>
          </cell>
          <cell r="I275">
            <v>3000</v>
          </cell>
          <cell r="J275">
            <v>-929.32</v>
          </cell>
        </row>
        <row r="276">
          <cell r="A276">
            <v>1649100691</v>
          </cell>
          <cell r="B276" t="str">
            <v>קרן</v>
          </cell>
          <cell r="C276">
            <v>229910</v>
          </cell>
          <cell r="D276">
            <v>207347.14</v>
          </cell>
          <cell r="E276">
            <v>0</v>
          </cell>
          <cell r="F276">
            <v>207347.14</v>
          </cell>
          <cell r="G276">
            <v>22562.86</v>
          </cell>
          <cell r="H276">
            <v>90.18</v>
          </cell>
          <cell r="I276">
            <v>276000</v>
          </cell>
          <cell r="J276">
            <v>207347.14</v>
          </cell>
        </row>
        <row r="277">
          <cell r="A277">
            <v>1649100692</v>
          </cell>
          <cell r="B277" t="str">
            <v>רבית</v>
          </cell>
          <cell r="C277">
            <v>66640</v>
          </cell>
          <cell r="D277">
            <v>48605.18</v>
          </cell>
          <cell r="E277">
            <v>0</v>
          </cell>
          <cell r="F277">
            <v>48605.18</v>
          </cell>
          <cell r="G277">
            <v>18034.82</v>
          </cell>
          <cell r="H277">
            <v>72.930000000000007</v>
          </cell>
          <cell r="I277">
            <v>80000</v>
          </cell>
          <cell r="J277">
            <v>48605.18</v>
          </cell>
        </row>
        <row r="278">
          <cell r="A278">
            <v>1649100693</v>
          </cell>
          <cell r="B278" t="str">
            <v>הצמדה</v>
          </cell>
          <cell r="C278">
            <v>26660</v>
          </cell>
          <cell r="D278">
            <v>24062.61</v>
          </cell>
          <cell r="E278">
            <v>0</v>
          </cell>
          <cell r="F278">
            <v>24062.61</v>
          </cell>
          <cell r="G278">
            <v>2597.39</v>
          </cell>
          <cell r="H278">
            <v>90.25</v>
          </cell>
          <cell r="I278">
            <v>32000</v>
          </cell>
          <cell r="J278">
            <v>24062.61</v>
          </cell>
        </row>
        <row r="279">
          <cell r="A279">
            <v>1711000540</v>
          </cell>
          <cell r="B279" t="str">
            <v>הות" תקשורת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>
            <v>1712200110</v>
          </cell>
          <cell r="B280" t="str">
            <v>משכורת</v>
          </cell>
          <cell r="C280">
            <v>0</v>
          </cell>
          <cell r="D280">
            <v>18437.669999999998</v>
          </cell>
          <cell r="E280">
            <v>0</v>
          </cell>
          <cell r="F280">
            <v>18437.669999999998</v>
          </cell>
          <cell r="G280">
            <v>-18437.669999999998</v>
          </cell>
          <cell r="H280">
            <v>0</v>
          </cell>
          <cell r="I280">
            <v>0</v>
          </cell>
          <cell r="J280">
            <v>18437.669999999998</v>
          </cell>
        </row>
        <row r="281">
          <cell r="A281">
            <v>1712200750</v>
          </cell>
          <cell r="B281" t="str">
            <v>עבודות קבלניות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>
            <v>1712220750</v>
          </cell>
          <cell r="B282" t="str">
            <v>ימי רענון והשלמויות תברואה</v>
          </cell>
          <cell r="C282">
            <v>830</v>
          </cell>
          <cell r="D282">
            <v>0</v>
          </cell>
          <cell r="E282">
            <v>0</v>
          </cell>
          <cell r="F282">
            <v>0</v>
          </cell>
          <cell r="G282">
            <v>830</v>
          </cell>
          <cell r="H282">
            <v>0</v>
          </cell>
          <cell r="I282">
            <v>1000</v>
          </cell>
          <cell r="J282">
            <v>0</v>
          </cell>
        </row>
        <row r="283">
          <cell r="A283">
            <v>1712300750</v>
          </cell>
          <cell r="B283" t="str">
            <v>עבודות קבלניות-פינוי אשפה</v>
          </cell>
          <cell r="C283">
            <v>2561480</v>
          </cell>
          <cell r="D283">
            <v>2336708</v>
          </cell>
          <cell r="E283">
            <v>20308</v>
          </cell>
          <cell r="F283">
            <v>2357016</v>
          </cell>
          <cell r="G283">
            <v>204464</v>
          </cell>
          <cell r="H283">
            <v>92.01</v>
          </cell>
          <cell r="I283">
            <v>3075000</v>
          </cell>
          <cell r="J283">
            <v>2339633</v>
          </cell>
        </row>
        <row r="284">
          <cell r="A284">
            <v>1712300932</v>
          </cell>
          <cell r="B284" t="str">
            <v>פחי אשפה</v>
          </cell>
          <cell r="C284">
            <v>3330</v>
          </cell>
          <cell r="D284">
            <v>0</v>
          </cell>
          <cell r="E284">
            <v>0</v>
          </cell>
          <cell r="F284">
            <v>0</v>
          </cell>
          <cell r="G284">
            <v>3330</v>
          </cell>
          <cell r="H284">
            <v>0</v>
          </cell>
          <cell r="I284">
            <v>4000</v>
          </cell>
          <cell r="J284">
            <v>0</v>
          </cell>
        </row>
        <row r="285">
          <cell r="A285">
            <v>1713000110</v>
          </cell>
          <cell r="B285" t="str">
            <v>משכורות כוללות</v>
          </cell>
          <cell r="C285">
            <v>99130</v>
          </cell>
          <cell r="D285">
            <v>95474.29</v>
          </cell>
          <cell r="E285">
            <v>0</v>
          </cell>
          <cell r="F285">
            <v>95474.29</v>
          </cell>
          <cell r="G285">
            <v>3655.71</v>
          </cell>
          <cell r="H285">
            <v>96.31</v>
          </cell>
          <cell r="I285">
            <v>119000</v>
          </cell>
          <cell r="J285">
            <v>95474.29</v>
          </cell>
        </row>
        <row r="286">
          <cell r="A286">
            <v>1713100830</v>
          </cell>
          <cell r="B286" t="str">
            <v>איגוד ערים-איכות הסביבה</v>
          </cell>
          <cell r="C286">
            <v>33320</v>
          </cell>
          <cell r="D286">
            <v>22144</v>
          </cell>
          <cell r="E286">
            <v>0</v>
          </cell>
          <cell r="F286">
            <v>22144</v>
          </cell>
          <cell r="G286">
            <v>11176</v>
          </cell>
          <cell r="H286">
            <v>66.45</v>
          </cell>
          <cell r="I286">
            <v>40000</v>
          </cell>
          <cell r="J286">
            <v>22144</v>
          </cell>
        </row>
        <row r="287">
          <cell r="A287">
            <v>1714200830</v>
          </cell>
          <cell r="B287" t="str">
            <v>א ע שמרון מטבחיים השת</v>
          </cell>
          <cell r="C287">
            <v>66640</v>
          </cell>
          <cell r="D287">
            <v>100968.5</v>
          </cell>
          <cell r="E287">
            <v>0</v>
          </cell>
          <cell r="F287">
            <v>100968.5</v>
          </cell>
          <cell r="G287">
            <v>-34328.5</v>
          </cell>
          <cell r="H287">
            <v>151.51</v>
          </cell>
          <cell r="I287">
            <v>80000</v>
          </cell>
          <cell r="J287">
            <v>100968.5</v>
          </cell>
        </row>
        <row r="288">
          <cell r="A288">
            <v>1715000720</v>
          </cell>
          <cell r="B288" t="str">
            <v>חומרי הדברה</v>
          </cell>
          <cell r="C288">
            <v>4170</v>
          </cell>
          <cell r="D288">
            <v>3907.8</v>
          </cell>
          <cell r="E288">
            <v>0</v>
          </cell>
          <cell r="F288">
            <v>3907.8</v>
          </cell>
          <cell r="G288">
            <v>262.2</v>
          </cell>
          <cell r="H288">
            <v>93.71</v>
          </cell>
          <cell r="I288">
            <v>5000</v>
          </cell>
          <cell r="J288">
            <v>3907.8</v>
          </cell>
        </row>
        <row r="289">
          <cell r="A289">
            <v>1715000840</v>
          </cell>
          <cell r="B289" t="str">
            <v>כבוי חדרה</v>
          </cell>
          <cell r="C289">
            <v>78300</v>
          </cell>
          <cell r="D289">
            <v>0</v>
          </cell>
          <cell r="E289">
            <v>0</v>
          </cell>
          <cell r="F289">
            <v>0</v>
          </cell>
          <cell r="G289">
            <v>78300</v>
          </cell>
          <cell r="H289">
            <v>0</v>
          </cell>
          <cell r="I289">
            <v>94000</v>
          </cell>
          <cell r="J289">
            <v>0</v>
          </cell>
        </row>
        <row r="290">
          <cell r="A290">
            <v>1722000930</v>
          </cell>
          <cell r="B290" t="str">
            <v>שמירה בטחונית ציוד</v>
          </cell>
          <cell r="C290">
            <v>9160</v>
          </cell>
          <cell r="D290">
            <v>-1643.85</v>
          </cell>
          <cell r="E290">
            <v>0</v>
          </cell>
          <cell r="F290">
            <v>-1643.85</v>
          </cell>
          <cell r="G290">
            <v>10803.85</v>
          </cell>
          <cell r="H290">
            <v>-17.940000000000001</v>
          </cell>
          <cell r="I290">
            <v>11000</v>
          </cell>
          <cell r="J290">
            <v>-1643.85</v>
          </cell>
        </row>
        <row r="291">
          <cell r="A291">
            <v>1724000591</v>
          </cell>
          <cell r="B291" t="str">
            <v>הג"א השתתפיות ותרומות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1724000810</v>
          </cell>
          <cell r="B292" t="str">
            <v>הג"א השתתפיות ותרומות</v>
          </cell>
          <cell r="C292">
            <v>89130</v>
          </cell>
          <cell r="D292">
            <v>164500.5</v>
          </cell>
          <cell r="E292">
            <v>0</v>
          </cell>
          <cell r="F292">
            <v>164500.5</v>
          </cell>
          <cell r="G292">
            <v>-75370.5</v>
          </cell>
          <cell r="H292">
            <v>184.56</v>
          </cell>
          <cell r="I292">
            <v>107000</v>
          </cell>
          <cell r="J292">
            <v>164500.5</v>
          </cell>
        </row>
        <row r="293">
          <cell r="A293">
            <v>1731000110</v>
          </cell>
          <cell r="B293" t="str">
            <v>משכורת מהנדס המועצה</v>
          </cell>
          <cell r="C293">
            <v>385680</v>
          </cell>
          <cell r="D293">
            <v>208223.21</v>
          </cell>
          <cell r="E293">
            <v>0</v>
          </cell>
          <cell r="F293">
            <v>208223.21</v>
          </cell>
          <cell r="G293">
            <v>177456.79</v>
          </cell>
          <cell r="H293">
            <v>53.98</v>
          </cell>
          <cell r="I293">
            <v>463000</v>
          </cell>
          <cell r="J293">
            <v>208223.21</v>
          </cell>
        </row>
        <row r="294">
          <cell r="A294">
            <v>1731000540</v>
          </cell>
          <cell r="B294" t="str">
            <v>הוצ" תקשורת</v>
          </cell>
          <cell r="C294">
            <v>2500</v>
          </cell>
          <cell r="D294">
            <v>0</v>
          </cell>
          <cell r="E294">
            <v>0</v>
          </cell>
          <cell r="F294">
            <v>0</v>
          </cell>
          <cell r="G294">
            <v>2500</v>
          </cell>
          <cell r="H294">
            <v>0</v>
          </cell>
          <cell r="I294">
            <v>3000</v>
          </cell>
          <cell r="J294">
            <v>0</v>
          </cell>
        </row>
        <row r="295">
          <cell r="A295">
            <v>1731000750</v>
          </cell>
          <cell r="B295" t="str">
            <v>עבודות קבלניות _תכנו</v>
          </cell>
          <cell r="C295">
            <v>6660</v>
          </cell>
          <cell r="D295">
            <v>2925</v>
          </cell>
          <cell r="E295">
            <v>0</v>
          </cell>
          <cell r="F295">
            <v>2925</v>
          </cell>
          <cell r="G295">
            <v>3735</v>
          </cell>
          <cell r="H295">
            <v>43.91</v>
          </cell>
          <cell r="I295">
            <v>8000</v>
          </cell>
          <cell r="J295">
            <v>2925</v>
          </cell>
        </row>
        <row r="296">
          <cell r="A296">
            <v>1732000110</v>
          </cell>
          <cell r="B296" t="str">
            <v>מזכירות מחלקת הנדסה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1732000540</v>
          </cell>
          <cell r="B297" t="str">
            <v>פלפון מהנדס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8">
          <cell r="A298">
            <v>1732000950</v>
          </cell>
          <cell r="B298" t="str">
            <v>צילומים</v>
          </cell>
          <cell r="C298">
            <v>55810</v>
          </cell>
          <cell r="D298">
            <v>772.2</v>
          </cell>
          <cell r="E298">
            <v>0</v>
          </cell>
          <cell r="F298">
            <v>772.2</v>
          </cell>
          <cell r="G298">
            <v>55037.8</v>
          </cell>
          <cell r="H298">
            <v>1.38</v>
          </cell>
          <cell r="I298">
            <v>67000</v>
          </cell>
          <cell r="J298">
            <v>772.2</v>
          </cell>
        </row>
        <row r="299">
          <cell r="A299">
            <v>1732300750</v>
          </cell>
          <cell r="B299" t="str">
            <v>מדידות</v>
          </cell>
          <cell r="C299">
            <v>24160</v>
          </cell>
          <cell r="D299">
            <v>48.48</v>
          </cell>
          <cell r="E299">
            <v>3500</v>
          </cell>
          <cell r="F299">
            <v>3548.48</v>
          </cell>
          <cell r="G299">
            <v>20611.52</v>
          </cell>
          <cell r="H299">
            <v>14.68</v>
          </cell>
          <cell r="I299">
            <v>29000</v>
          </cell>
          <cell r="J299">
            <v>48.48</v>
          </cell>
        </row>
        <row r="300">
          <cell r="A300">
            <v>1732400750</v>
          </cell>
          <cell r="B300" t="str">
            <v>השתתפות בתכנון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1742100592</v>
          </cell>
          <cell r="B301" t="str">
            <v>רשות הניקוז השתתפות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A302">
            <v>1742100750</v>
          </cell>
          <cell r="B302" t="str">
            <v>אחזקת כבישים</v>
          </cell>
          <cell r="C302">
            <v>83300</v>
          </cell>
          <cell r="D302">
            <v>81841</v>
          </cell>
          <cell r="E302">
            <v>7916.22</v>
          </cell>
          <cell r="F302">
            <v>89757.22</v>
          </cell>
          <cell r="G302">
            <v>-6457.22</v>
          </cell>
          <cell r="H302">
            <v>107.75</v>
          </cell>
          <cell r="I302">
            <v>100000</v>
          </cell>
          <cell r="J302">
            <v>84435</v>
          </cell>
        </row>
        <row r="303">
          <cell r="A303">
            <v>1742100810</v>
          </cell>
          <cell r="B303" t="str">
            <v>רשות הניקוז השתתפות</v>
          </cell>
          <cell r="C303">
            <v>44150</v>
          </cell>
          <cell r="D303">
            <v>85000</v>
          </cell>
          <cell r="E303">
            <v>0</v>
          </cell>
          <cell r="F303">
            <v>85000</v>
          </cell>
          <cell r="G303">
            <v>-40850</v>
          </cell>
          <cell r="H303">
            <v>192.52</v>
          </cell>
          <cell r="I303">
            <v>53000</v>
          </cell>
          <cell r="J303">
            <v>85000</v>
          </cell>
        </row>
        <row r="304">
          <cell r="A304">
            <v>1742100930</v>
          </cell>
          <cell r="B304" t="str">
            <v>ציוד יסודי כבישים</v>
          </cell>
          <cell r="C304">
            <v>4170</v>
          </cell>
          <cell r="D304">
            <v>0</v>
          </cell>
          <cell r="E304">
            <v>0</v>
          </cell>
          <cell r="F304">
            <v>0</v>
          </cell>
          <cell r="G304">
            <v>4170</v>
          </cell>
          <cell r="H304">
            <v>0</v>
          </cell>
          <cell r="I304">
            <v>5000</v>
          </cell>
          <cell r="J304">
            <v>0</v>
          </cell>
        </row>
        <row r="305">
          <cell r="A305">
            <v>1743000110</v>
          </cell>
          <cell r="B305" t="str">
            <v>משכורת חשמלאי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1743000431</v>
          </cell>
          <cell r="B306" t="str">
            <v>חשמל רחובות</v>
          </cell>
          <cell r="C306">
            <v>209080</v>
          </cell>
          <cell r="D306">
            <v>163058.23999999999</v>
          </cell>
          <cell r="E306">
            <v>0</v>
          </cell>
          <cell r="F306">
            <v>163058.23999999999</v>
          </cell>
          <cell r="G306">
            <v>46021.760000000002</v>
          </cell>
          <cell r="H306">
            <v>77.98</v>
          </cell>
          <cell r="I306">
            <v>251000</v>
          </cell>
          <cell r="J306">
            <v>169413.21</v>
          </cell>
        </row>
        <row r="307">
          <cell r="A307">
            <v>1743000540</v>
          </cell>
          <cell r="B307" t="str">
            <v>הוצ תקשורת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>
            <v>1743000750</v>
          </cell>
          <cell r="B308" t="str">
            <v>עבודות קבלניות- חשמל</v>
          </cell>
          <cell r="C308">
            <v>147440</v>
          </cell>
          <cell r="D308">
            <v>101148.65</v>
          </cell>
          <cell r="E308">
            <v>66403.61</v>
          </cell>
          <cell r="F308">
            <v>167552.26</v>
          </cell>
          <cell r="G308">
            <v>-20112.259999999998</v>
          </cell>
          <cell r="H308">
            <v>113.64</v>
          </cell>
          <cell r="I308">
            <v>177000</v>
          </cell>
          <cell r="J308">
            <v>101148.65</v>
          </cell>
        </row>
        <row r="309">
          <cell r="A309">
            <v>1744000581</v>
          </cell>
          <cell r="B309" t="str">
            <v>בטיחות בדרכים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A310">
            <v>1744000810</v>
          </cell>
          <cell r="B310" t="str">
            <v>בטיחות בדרכים</v>
          </cell>
          <cell r="C310">
            <v>83300</v>
          </cell>
          <cell r="D310">
            <v>38600</v>
          </cell>
          <cell r="E310">
            <v>32400</v>
          </cell>
          <cell r="F310">
            <v>71000</v>
          </cell>
          <cell r="G310">
            <v>12300</v>
          </cell>
          <cell r="H310">
            <v>85.23</v>
          </cell>
          <cell r="I310">
            <v>100000</v>
          </cell>
          <cell r="J310">
            <v>38600</v>
          </cell>
        </row>
        <row r="311">
          <cell r="A311">
            <v>1746000422</v>
          </cell>
          <cell r="B311" t="str">
            <v>גינון</v>
          </cell>
          <cell r="C311">
            <v>0</v>
          </cell>
          <cell r="D311">
            <v>27378</v>
          </cell>
          <cell r="E311">
            <v>2915.64</v>
          </cell>
          <cell r="F311">
            <v>30293.64</v>
          </cell>
          <cell r="G311">
            <v>-30293.64</v>
          </cell>
          <cell r="H311">
            <v>0</v>
          </cell>
          <cell r="I311">
            <v>0</v>
          </cell>
          <cell r="J311">
            <v>27378</v>
          </cell>
        </row>
        <row r="312">
          <cell r="A312">
            <v>1746000432</v>
          </cell>
          <cell r="B312" t="str">
            <v>הוצ מים לגינון</v>
          </cell>
          <cell r="C312">
            <v>8330</v>
          </cell>
          <cell r="D312">
            <v>0</v>
          </cell>
          <cell r="E312">
            <v>0</v>
          </cell>
          <cell r="F312">
            <v>0</v>
          </cell>
          <cell r="G312">
            <v>8330</v>
          </cell>
          <cell r="H312">
            <v>0</v>
          </cell>
          <cell r="I312">
            <v>10000</v>
          </cell>
          <cell r="J312">
            <v>0</v>
          </cell>
        </row>
        <row r="313">
          <cell r="A313">
            <v>1746000740</v>
          </cell>
          <cell r="B313" t="str">
            <v>ציוד</v>
          </cell>
          <cell r="C313">
            <v>4170</v>
          </cell>
          <cell r="D313">
            <v>0</v>
          </cell>
          <cell r="E313">
            <v>0</v>
          </cell>
          <cell r="F313">
            <v>0</v>
          </cell>
          <cell r="G313">
            <v>4170</v>
          </cell>
          <cell r="H313">
            <v>0</v>
          </cell>
          <cell r="I313">
            <v>5000</v>
          </cell>
          <cell r="J313">
            <v>0</v>
          </cell>
        </row>
        <row r="314">
          <cell r="A314">
            <v>1746000810</v>
          </cell>
          <cell r="B314" t="str">
            <v>גנון</v>
          </cell>
          <cell r="C314">
            <v>136610</v>
          </cell>
          <cell r="D314">
            <v>4001.4</v>
          </cell>
          <cell r="E314">
            <v>3150</v>
          </cell>
          <cell r="F314">
            <v>7151.4</v>
          </cell>
          <cell r="G314">
            <v>129458.6</v>
          </cell>
          <cell r="H314">
            <v>5.23</v>
          </cell>
          <cell r="I314">
            <v>164000</v>
          </cell>
          <cell r="J314">
            <v>4001.4</v>
          </cell>
        </row>
        <row r="315">
          <cell r="A315">
            <v>1761000110</v>
          </cell>
          <cell r="B315" t="str">
            <v>מנהל מדור חרום</v>
          </cell>
          <cell r="C315">
            <v>198250</v>
          </cell>
          <cell r="D315">
            <v>178157.92</v>
          </cell>
          <cell r="E315">
            <v>0</v>
          </cell>
          <cell r="F315">
            <v>178157.92</v>
          </cell>
          <cell r="G315">
            <v>20092.080000000002</v>
          </cell>
          <cell r="H315">
            <v>89.86</v>
          </cell>
          <cell r="I315">
            <v>238000</v>
          </cell>
          <cell r="J315">
            <v>178157.92</v>
          </cell>
        </row>
        <row r="316">
          <cell r="A316">
            <v>1761000422</v>
          </cell>
          <cell r="B316" t="str">
            <v>מדור חירום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A317">
            <v>1761000431</v>
          </cell>
          <cell r="B317" t="str">
            <v>חשמל מחסן מל"ח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1761000521</v>
          </cell>
          <cell r="B318" t="str">
            <v>השתלמותוהצ" קבטי"ם</v>
          </cell>
          <cell r="C318">
            <v>1670</v>
          </cell>
          <cell r="D318">
            <v>835</v>
          </cell>
          <cell r="E318">
            <v>0</v>
          </cell>
          <cell r="F318">
            <v>835</v>
          </cell>
          <cell r="G318">
            <v>835</v>
          </cell>
          <cell r="H318">
            <v>50</v>
          </cell>
          <cell r="I318">
            <v>2000</v>
          </cell>
          <cell r="J318">
            <v>835</v>
          </cell>
        </row>
        <row r="319">
          <cell r="A319">
            <v>1761000540</v>
          </cell>
          <cell r="B319" t="str">
            <v>הוצ" תקשורת</v>
          </cell>
          <cell r="C319">
            <v>1670</v>
          </cell>
          <cell r="D319">
            <v>0</v>
          </cell>
          <cell r="E319">
            <v>0</v>
          </cell>
          <cell r="F319">
            <v>0</v>
          </cell>
          <cell r="G319">
            <v>1670</v>
          </cell>
          <cell r="H319">
            <v>0</v>
          </cell>
          <cell r="I319">
            <v>2000</v>
          </cell>
          <cell r="J319">
            <v>0</v>
          </cell>
        </row>
        <row r="320">
          <cell r="A320">
            <v>1761000810</v>
          </cell>
          <cell r="B320" t="str">
            <v>מדור חירום</v>
          </cell>
          <cell r="C320">
            <v>29160</v>
          </cell>
          <cell r="D320">
            <v>16100</v>
          </cell>
          <cell r="E320">
            <v>0</v>
          </cell>
          <cell r="F320">
            <v>16100</v>
          </cell>
          <cell r="G320">
            <v>13060</v>
          </cell>
          <cell r="H320">
            <v>55.21</v>
          </cell>
          <cell r="I320">
            <v>35000</v>
          </cell>
          <cell r="J320">
            <v>16100</v>
          </cell>
        </row>
        <row r="321">
          <cell r="A321">
            <v>1799000750</v>
          </cell>
          <cell r="B321" t="str">
            <v>עב" קבלניות חקלאיות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>
            <v>1811000110</v>
          </cell>
          <cell r="B322" t="str">
            <v>משכורת ושכ"ע</v>
          </cell>
          <cell r="C322">
            <v>411500</v>
          </cell>
          <cell r="D322">
            <v>405652.44</v>
          </cell>
          <cell r="E322">
            <v>0</v>
          </cell>
          <cell r="F322">
            <v>405652.44</v>
          </cell>
          <cell r="G322">
            <v>5847.56</v>
          </cell>
          <cell r="H322">
            <v>98.57</v>
          </cell>
          <cell r="I322">
            <v>494000</v>
          </cell>
          <cell r="J322">
            <v>405652.44</v>
          </cell>
        </row>
        <row r="323">
          <cell r="A323">
            <v>1811000521</v>
          </cell>
          <cell r="B323" t="str">
            <v>השתלמויות</v>
          </cell>
          <cell r="C323">
            <v>2500</v>
          </cell>
          <cell r="D323">
            <v>0</v>
          </cell>
          <cell r="E323">
            <v>0</v>
          </cell>
          <cell r="F323">
            <v>0</v>
          </cell>
          <cell r="G323">
            <v>2500</v>
          </cell>
          <cell r="H323">
            <v>0</v>
          </cell>
          <cell r="I323">
            <v>3000</v>
          </cell>
          <cell r="J323">
            <v>0</v>
          </cell>
        </row>
        <row r="324">
          <cell r="A324">
            <v>1811000540</v>
          </cell>
          <cell r="B324" t="str">
            <v>הוצ" תקשורת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1811000560</v>
          </cell>
          <cell r="B325" t="str">
            <v>מחלקת חינוך הנהלה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>
            <v>1811000810</v>
          </cell>
          <cell r="B326" t="str">
            <v>מחלקת חינוך הנהלה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>
            <v>1811200580</v>
          </cell>
          <cell r="B327" t="str">
            <v>הפעלת תוכנית קיץ במוסדות חנוך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>
            <v>1811200810</v>
          </cell>
          <cell r="B328" t="str">
            <v>הפעלת תוכנית קיץ במוסדות חנוך</v>
          </cell>
          <cell r="C328">
            <v>458150</v>
          </cell>
          <cell r="D328">
            <v>399718</v>
          </cell>
          <cell r="E328">
            <v>0</v>
          </cell>
          <cell r="F328">
            <v>399718</v>
          </cell>
          <cell r="G328">
            <v>58432</v>
          </cell>
          <cell r="H328">
            <v>87.24</v>
          </cell>
          <cell r="I328">
            <v>550000</v>
          </cell>
          <cell r="J328">
            <v>399718</v>
          </cell>
        </row>
        <row r="329">
          <cell r="A329">
            <v>1812000560</v>
          </cell>
          <cell r="B329" t="str">
            <v>צילומים והדפסות גנים</v>
          </cell>
          <cell r="C329">
            <v>36650</v>
          </cell>
          <cell r="D329">
            <v>6971</v>
          </cell>
          <cell r="E329">
            <v>350</v>
          </cell>
          <cell r="F329">
            <v>7321</v>
          </cell>
          <cell r="G329">
            <v>29329</v>
          </cell>
          <cell r="H329">
            <v>19.97</v>
          </cell>
          <cell r="I329">
            <v>44000</v>
          </cell>
          <cell r="J329">
            <v>7217</v>
          </cell>
        </row>
        <row r="330">
          <cell r="A330">
            <v>1812200110</v>
          </cell>
          <cell r="B330" t="str">
            <v>משכורת ושכ"ע</v>
          </cell>
          <cell r="C330">
            <v>3055440</v>
          </cell>
          <cell r="D330">
            <v>2842845.45</v>
          </cell>
          <cell r="E330">
            <v>0</v>
          </cell>
          <cell r="F330">
            <v>2842845.45</v>
          </cell>
          <cell r="G330">
            <v>212594.55</v>
          </cell>
          <cell r="H330">
            <v>93.04</v>
          </cell>
          <cell r="I330">
            <v>3668000</v>
          </cell>
          <cell r="J330">
            <v>2842845.45</v>
          </cell>
        </row>
        <row r="331">
          <cell r="A331">
            <v>1812200410</v>
          </cell>
          <cell r="B331" t="str">
            <v>שכר דירה  גנים</v>
          </cell>
          <cell r="C331">
            <v>13330</v>
          </cell>
          <cell r="D331">
            <v>0</v>
          </cell>
          <cell r="E331">
            <v>0</v>
          </cell>
          <cell r="F331">
            <v>0</v>
          </cell>
          <cell r="G331">
            <v>13330</v>
          </cell>
          <cell r="H331">
            <v>0</v>
          </cell>
          <cell r="I331">
            <v>16000</v>
          </cell>
          <cell r="J331">
            <v>0</v>
          </cell>
        </row>
        <row r="332">
          <cell r="A332">
            <v>1812200431</v>
          </cell>
          <cell r="B332" t="str">
            <v>חשמל גנים</v>
          </cell>
          <cell r="C332">
            <v>99130</v>
          </cell>
          <cell r="D332">
            <v>84853.04</v>
          </cell>
          <cell r="E332">
            <v>0</v>
          </cell>
          <cell r="F332">
            <v>84853.04</v>
          </cell>
          <cell r="G332">
            <v>14276.96</v>
          </cell>
          <cell r="H332">
            <v>85.59</v>
          </cell>
          <cell r="I332">
            <v>119000</v>
          </cell>
          <cell r="J332">
            <v>84853.04</v>
          </cell>
        </row>
        <row r="333">
          <cell r="A333">
            <v>1812200450</v>
          </cell>
          <cell r="B333" t="str">
            <v>הוצ" ריהוט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1812200650</v>
          </cell>
          <cell r="B334" t="str">
            <v>קייטנת קיץ2017</v>
          </cell>
          <cell r="C334">
            <v>0</v>
          </cell>
          <cell r="D334">
            <v>72409</v>
          </cell>
          <cell r="E334">
            <v>72615.3</v>
          </cell>
          <cell r="F334">
            <v>145024.29999999999</v>
          </cell>
          <cell r="G334">
            <v>-145024.29999999999</v>
          </cell>
          <cell r="H334">
            <v>0</v>
          </cell>
          <cell r="I334">
            <v>0</v>
          </cell>
          <cell r="J334">
            <v>72409</v>
          </cell>
        </row>
        <row r="335">
          <cell r="A335">
            <v>1812200720</v>
          </cell>
          <cell r="B335" t="str">
            <v>חומרים_-גנים</v>
          </cell>
          <cell r="C335">
            <v>12500</v>
          </cell>
          <cell r="D335">
            <v>-51888</v>
          </cell>
          <cell r="E335">
            <v>2578.5</v>
          </cell>
          <cell r="F335">
            <v>-49309.5</v>
          </cell>
          <cell r="G335">
            <v>61809.5</v>
          </cell>
          <cell r="H335">
            <v>-394.47</v>
          </cell>
          <cell r="I335">
            <v>15000</v>
          </cell>
          <cell r="J335">
            <v>-51888</v>
          </cell>
        </row>
        <row r="336">
          <cell r="A336">
            <v>1812200740</v>
          </cell>
          <cell r="B336" t="str">
            <v>משחקים וציוד</v>
          </cell>
          <cell r="C336">
            <v>106620</v>
          </cell>
          <cell r="D336">
            <v>16289</v>
          </cell>
          <cell r="E336">
            <v>84981.3</v>
          </cell>
          <cell r="F336">
            <v>101270.3</v>
          </cell>
          <cell r="G336">
            <v>5349.7</v>
          </cell>
          <cell r="H336">
            <v>94.98</v>
          </cell>
          <cell r="I336">
            <v>128000</v>
          </cell>
          <cell r="J336">
            <v>36289</v>
          </cell>
        </row>
        <row r="337">
          <cell r="A337">
            <v>1812200750</v>
          </cell>
          <cell r="B337" t="str">
            <v>עב" קבלניות+חומרים גנים</v>
          </cell>
          <cell r="C337">
            <v>66640</v>
          </cell>
          <cell r="D337">
            <v>16244.37</v>
          </cell>
          <cell r="E337">
            <v>21219</v>
          </cell>
          <cell r="F337">
            <v>37463.370000000003</v>
          </cell>
          <cell r="G337">
            <v>29176.63</v>
          </cell>
          <cell r="H337">
            <v>56.21</v>
          </cell>
          <cell r="I337">
            <v>80000</v>
          </cell>
          <cell r="J337">
            <v>64086.97</v>
          </cell>
        </row>
        <row r="338">
          <cell r="A338">
            <v>1812200810</v>
          </cell>
          <cell r="B338" t="str">
            <v>גננות עובדות מדינה</v>
          </cell>
          <cell r="C338">
            <v>1570210</v>
          </cell>
          <cell r="D338">
            <v>1630984.26</v>
          </cell>
          <cell r="E338">
            <v>0</v>
          </cell>
          <cell r="F338">
            <v>1630984.26</v>
          </cell>
          <cell r="G338">
            <v>-60774.26</v>
          </cell>
          <cell r="H338">
            <v>103.87</v>
          </cell>
          <cell r="I338">
            <v>1885000</v>
          </cell>
          <cell r="J338">
            <v>1630984.26</v>
          </cell>
        </row>
        <row r="339">
          <cell r="A339">
            <v>1812210810</v>
          </cell>
          <cell r="B339" t="str">
            <v>תכנית ניצנים - גנ"י</v>
          </cell>
          <cell r="C339">
            <v>0</v>
          </cell>
          <cell r="D339">
            <v>0</v>
          </cell>
          <cell r="E339">
            <v>4850</v>
          </cell>
          <cell r="F339">
            <v>4850</v>
          </cell>
          <cell r="G339">
            <v>-4850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1813200110</v>
          </cell>
          <cell r="B340" t="str">
            <v>משכורת ושכ"ע שרתים</v>
          </cell>
          <cell r="C340">
            <v>90800</v>
          </cell>
          <cell r="D340">
            <v>90434.66</v>
          </cell>
          <cell r="E340">
            <v>0</v>
          </cell>
          <cell r="F340">
            <v>90434.66</v>
          </cell>
          <cell r="G340">
            <v>365.34</v>
          </cell>
          <cell r="H340">
            <v>99.59</v>
          </cell>
          <cell r="I340">
            <v>109000</v>
          </cell>
          <cell r="J340">
            <v>90434.66</v>
          </cell>
        </row>
        <row r="341">
          <cell r="A341">
            <v>1813200420</v>
          </cell>
          <cell r="B341" t="str">
            <v>אחזקת מבני בי"ס</v>
          </cell>
          <cell r="C341">
            <v>32490</v>
          </cell>
          <cell r="D341">
            <v>4601</v>
          </cell>
          <cell r="E341">
            <v>2215.35</v>
          </cell>
          <cell r="F341">
            <v>6816.35</v>
          </cell>
          <cell r="G341">
            <v>25673.65</v>
          </cell>
          <cell r="H341">
            <v>20.97</v>
          </cell>
          <cell r="I341">
            <v>39000</v>
          </cell>
          <cell r="J341">
            <v>4601</v>
          </cell>
        </row>
        <row r="342">
          <cell r="A342">
            <v>1813200431</v>
          </cell>
          <cell r="B342" t="str">
            <v>חשמל</v>
          </cell>
          <cell r="C342">
            <v>165770</v>
          </cell>
          <cell r="D342">
            <v>95541.68</v>
          </cell>
          <cell r="E342">
            <v>0</v>
          </cell>
          <cell r="F342">
            <v>95541.68</v>
          </cell>
          <cell r="G342">
            <v>70228.320000000007</v>
          </cell>
          <cell r="H342">
            <v>57.63</v>
          </cell>
          <cell r="I342">
            <v>199000</v>
          </cell>
          <cell r="J342">
            <v>95541.68</v>
          </cell>
        </row>
        <row r="343">
          <cell r="A343">
            <v>1813200432</v>
          </cell>
          <cell r="B343" t="str">
            <v>מים</v>
          </cell>
          <cell r="C343">
            <v>62480</v>
          </cell>
          <cell r="D343">
            <v>0</v>
          </cell>
          <cell r="E343">
            <v>0</v>
          </cell>
          <cell r="F343">
            <v>0</v>
          </cell>
          <cell r="G343">
            <v>62480</v>
          </cell>
          <cell r="H343">
            <v>0</v>
          </cell>
          <cell r="I343">
            <v>75000</v>
          </cell>
          <cell r="J343">
            <v>0</v>
          </cell>
        </row>
        <row r="344">
          <cell r="A344">
            <v>1813200433</v>
          </cell>
          <cell r="B344" t="str">
            <v>חומרי ניקיון</v>
          </cell>
          <cell r="C344">
            <v>1670</v>
          </cell>
          <cell r="D344">
            <v>1590</v>
          </cell>
          <cell r="E344">
            <v>0</v>
          </cell>
          <cell r="F344">
            <v>1590</v>
          </cell>
          <cell r="G344">
            <v>80</v>
          </cell>
          <cell r="H344">
            <v>95.2</v>
          </cell>
          <cell r="I344">
            <v>2000</v>
          </cell>
          <cell r="J344">
            <v>1590</v>
          </cell>
        </row>
        <row r="345">
          <cell r="A345">
            <v>1813200440</v>
          </cell>
          <cell r="B345" t="str">
            <v>ביטוחים</v>
          </cell>
          <cell r="C345">
            <v>124950</v>
          </cell>
          <cell r="D345">
            <v>0</v>
          </cell>
          <cell r="E345">
            <v>0</v>
          </cell>
          <cell r="F345">
            <v>0</v>
          </cell>
          <cell r="G345">
            <v>124950</v>
          </cell>
          <cell r="H345">
            <v>0</v>
          </cell>
          <cell r="I345">
            <v>150000</v>
          </cell>
          <cell r="J345">
            <v>0</v>
          </cell>
        </row>
        <row r="346">
          <cell r="A346">
            <v>1813200450</v>
          </cell>
          <cell r="B346" t="str">
            <v>ריהוט ואחזקתו</v>
          </cell>
          <cell r="C346">
            <v>7500</v>
          </cell>
          <cell r="D346">
            <v>0</v>
          </cell>
          <cell r="E346">
            <v>0</v>
          </cell>
          <cell r="F346">
            <v>0</v>
          </cell>
          <cell r="G346">
            <v>7500</v>
          </cell>
          <cell r="H346">
            <v>0</v>
          </cell>
          <cell r="I346">
            <v>9000</v>
          </cell>
          <cell r="J346">
            <v>0</v>
          </cell>
        </row>
        <row r="347">
          <cell r="A347">
            <v>1813200470</v>
          </cell>
          <cell r="B347" t="str">
            <v>ציוד משרדי ומחשבים</v>
          </cell>
          <cell r="C347">
            <v>35820</v>
          </cell>
          <cell r="D347">
            <v>30447</v>
          </cell>
          <cell r="E347">
            <v>12000</v>
          </cell>
          <cell r="F347">
            <v>42447</v>
          </cell>
          <cell r="G347">
            <v>-6627</v>
          </cell>
          <cell r="H347">
            <v>118.5</v>
          </cell>
          <cell r="I347">
            <v>43000</v>
          </cell>
          <cell r="J347">
            <v>30447</v>
          </cell>
        </row>
        <row r="348">
          <cell r="A348">
            <v>1813200540</v>
          </cell>
          <cell r="B348" t="str">
            <v>טלפון</v>
          </cell>
          <cell r="C348">
            <v>17490</v>
          </cell>
          <cell r="D348">
            <v>28950.81</v>
          </cell>
          <cell r="E348">
            <v>0</v>
          </cell>
          <cell r="F348">
            <v>28950.81</v>
          </cell>
          <cell r="G348">
            <v>-11460.81</v>
          </cell>
          <cell r="H348">
            <v>165.52</v>
          </cell>
          <cell r="I348">
            <v>21000</v>
          </cell>
          <cell r="J348">
            <v>28950.81</v>
          </cell>
        </row>
        <row r="349">
          <cell r="A349">
            <v>1813200560</v>
          </cell>
          <cell r="B349" t="str">
            <v>צילומים והדפסות</v>
          </cell>
          <cell r="C349">
            <v>89130</v>
          </cell>
          <cell r="D349">
            <v>17654</v>
          </cell>
          <cell r="E349">
            <v>0</v>
          </cell>
          <cell r="F349">
            <v>17654</v>
          </cell>
          <cell r="G349">
            <v>71476</v>
          </cell>
          <cell r="H349">
            <v>19.8</v>
          </cell>
          <cell r="I349">
            <v>107000</v>
          </cell>
          <cell r="J349">
            <v>17654</v>
          </cell>
        </row>
        <row r="350">
          <cell r="A350">
            <v>1813200720</v>
          </cell>
          <cell r="B350" t="str">
            <v>חומרים- מעבדות בי"ס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1813200750</v>
          </cell>
          <cell r="B351" t="str">
            <v>עבודות קבלניות</v>
          </cell>
          <cell r="C351">
            <v>29160</v>
          </cell>
          <cell r="D351">
            <v>-23246</v>
          </cell>
          <cell r="E351">
            <v>2800</v>
          </cell>
          <cell r="F351">
            <v>-20446</v>
          </cell>
          <cell r="G351">
            <v>49606</v>
          </cell>
          <cell r="H351">
            <v>-70.11</v>
          </cell>
          <cell r="I351">
            <v>35000</v>
          </cell>
          <cell r="J351">
            <v>-23246</v>
          </cell>
        </row>
        <row r="352">
          <cell r="A352">
            <v>1813200930</v>
          </cell>
          <cell r="B352" t="str">
            <v>ציוד יסודי</v>
          </cell>
          <cell r="C352">
            <v>33320</v>
          </cell>
          <cell r="D352">
            <v>0</v>
          </cell>
          <cell r="E352">
            <v>0</v>
          </cell>
          <cell r="F352">
            <v>0</v>
          </cell>
          <cell r="G352">
            <v>33320</v>
          </cell>
          <cell r="H352">
            <v>0</v>
          </cell>
          <cell r="I352">
            <v>40000</v>
          </cell>
          <cell r="J352">
            <v>0</v>
          </cell>
        </row>
        <row r="353">
          <cell r="A353">
            <v>1813210110</v>
          </cell>
          <cell r="B353" t="str">
            <v>מזכירים חינוך</v>
          </cell>
          <cell r="C353">
            <v>289880</v>
          </cell>
          <cell r="D353">
            <v>341853.44</v>
          </cell>
          <cell r="E353">
            <v>0</v>
          </cell>
          <cell r="F353">
            <v>341853.44</v>
          </cell>
          <cell r="G353">
            <v>-51973.440000000002</v>
          </cell>
          <cell r="H353">
            <v>117.92</v>
          </cell>
          <cell r="I353">
            <v>348000</v>
          </cell>
          <cell r="J353">
            <v>341853.44</v>
          </cell>
        </row>
        <row r="354">
          <cell r="A354">
            <v>1813210470</v>
          </cell>
          <cell r="B354" t="str">
            <v>מחשבים לב"ס</v>
          </cell>
          <cell r="C354">
            <v>0</v>
          </cell>
          <cell r="D354">
            <v>200672</v>
          </cell>
          <cell r="E354">
            <v>0</v>
          </cell>
          <cell r="F354">
            <v>200672</v>
          </cell>
          <cell r="G354">
            <v>-200672</v>
          </cell>
          <cell r="H354">
            <v>0</v>
          </cell>
          <cell r="I354">
            <v>0</v>
          </cell>
          <cell r="J354">
            <v>200672</v>
          </cell>
        </row>
        <row r="355">
          <cell r="A355">
            <v>1813210570</v>
          </cell>
          <cell r="B355" t="str">
            <v>ערכאות והדרכות לתלמידים</v>
          </cell>
          <cell r="C355">
            <v>0</v>
          </cell>
          <cell r="D355">
            <v>68150</v>
          </cell>
          <cell r="E355">
            <v>0</v>
          </cell>
          <cell r="F355">
            <v>68150</v>
          </cell>
          <cell r="G355">
            <v>-68150</v>
          </cell>
          <cell r="H355">
            <v>0</v>
          </cell>
          <cell r="I355">
            <v>0</v>
          </cell>
          <cell r="J355">
            <v>68150</v>
          </cell>
        </row>
        <row r="356">
          <cell r="A356">
            <v>1813210750</v>
          </cell>
          <cell r="B356" t="str">
            <v>שיפוצים ביתי ספר</v>
          </cell>
          <cell r="C356">
            <v>0</v>
          </cell>
          <cell r="D356">
            <v>33497</v>
          </cell>
          <cell r="E356">
            <v>0</v>
          </cell>
          <cell r="F356">
            <v>33497</v>
          </cell>
          <cell r="G356">
            <v>-33497</v>
          </cell>
          <cell r="H356">
            <v>0</v>
          </cell>
          <cell r="I356">
            <v>0</v>
          </cell>
          <cell r="J356">
            <v>33497</v>
          </cell>
        </row>
        <row r="357">
          <cell r="A357">
            <v>1813220110</v>
          </cell>
          <cell r="B357" t="str">
            <v>אחזקה ותקונים ביתי"ס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>
            <v>1813300110</v>
          </cell>
          <cell r="B358" t="str">
            <v>סייעות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1813300430</v>
          </cell>
          <cell r="B359" t="str">
            <v>ניהול עצמי משופר</v>
          </cell>
          <cell r="C359">
            <v>0</v>
          </cell>
          <cell r="D359">
            <v>130638</v>
          </cell>
          <cell r="E359">
            <v>0</v>
          </cell>
          <cell r="F359">
            <v>130638</v>
          </cell>
          <cell r="G359">
            <v>-130638</v>
          </cell>
          <cell r="H359">
            <v>0</v>
          </cell>
          <cell r="I359">
            <v>0</v>
          </cell>
          <cell r="J359">
            <v>130638</v>
          </cell>
        </row>
        <row r="360">
          <cell r="A360">
            <v>1813300780</v>
          </cell>
          <cell r="B360" t="str">
            <v>חינוך מיוחד</v>
          </cell>
          <cell r="C360">
            <v>10000</v>
          </cell>
          <cell r="D360">
            <v>0</v>
          </cell>
          <cell r="E360">
            <v>5300</v>
          </cell>
          <cell r="F360">
            <v>5300</v>
          </cell>
          <cell r="G360">
            <v>4700</v>
          </cell>
          <cell r="H360">
            <v>53</v>
          </cell>
          <cell r="I360">
            <v>12000</v>
          </cell>
          <cell r="J360">
            <v>0</v>
          </cell>
        </row>
        <row r="361">
          <cell r="A361">
            <v>1813300810</v>
          </cell>
          <cell r="B361" t="str">
            <v>אגרת תלמיד חוץ</v>
          </cell>
          <cell r="C361">
            <v>334030</v>
          </cell>
          <cell r="D361">
            <v>588039</v>
          </cell>
          <cell r="E361">
            <v>0</v>
          </cell>
          <cell r="F361">
            <v>588039</v>
          </cell>
          <cell r="G361">
            <v>-254009</v>
          </cell>
          <cell r="H361">
            <v>176.04</v>
          </cell>
          <cell r="I361">
            <v>401000</v>
          </cell>
          <cell r="J361">
            <v>588039</v>
          </cell>
        </row>
        <row r="362">
          <cell r="A362">
            <v>1813400430</v>
          </cell>
          <cell r="B362" t="str">
            <v>ניהול עצמי אלשאפיעי</v>
          </cell>
          <cell r="C362">
            <v>0</v>
          </cell>
          <cell r="D362">
            <v>61899</v>
          </cell>
          <cell r="E362">
            <v>0</v>
          </cell>
          <cell r="F362">
            <v>61899</v>
          </cell>
          <cell r="G362">
            <v>-61899</v>
          </cell>
          <cell r="H362">
            <v>0</v>
          </cell>
          <cell r="I362">
            <v>0</v>
          </cell>
          <cell r="J362">
            <v>122907</v>
          </cell>
        </row>
        <row r="363">
          <cell r="A363">
            <v>1813500430</v>
          </cell>
          <cell r="B363" t="str">
            <v>ניהול עצמי אלפארוק</v>
          </cell>
          <cell r="C363">
            <v>0</v>
          </cell>
          <cell r="D363">
            <v>62945</v>
          </cell>
          <cell r="E363">
            <v>0</v>
          </cell>
          <cell r="F363">
            <v>62945</v>
          </cell>
          <cell r="G363">
            <v>-62945</v>
          </cell>
          <cell r="H363">
            <v>0</v>
          </cell>
          <cell r="I363">
            <v>0</v>
          </cell>
          <cell r="J363">
            <v>131387</v>
          </cell>
        </row>
        <row r="364">
          <cell r="A364">
            <v>1813560043</v>
          </cell>
          <cell r="B364" t="str">
            <v>ניהול עצמי אל- סדיק</v>
          </cell>
          <cell r="C364">
            <v>0</v>
          </cell>
          <cell r="D364">
            <v>42932</v>
          </cell>
          <cell r="E364">
            <v>0</v>
          </cell>
          <cell r="F364">
            <v>42932</v>
          </cell>
          <cell r="G364">
            <v>-42932</v>
          </cell>
          <cell r="H364">
            <v>0</v>
          </cell>
          <cell r="I364">
            <v>0</v>
          </cell>
          <cell r="J364">
            <v>83714</v>
          </cell>
        </row>
        <row r="365">
          <cell r="A365">
            <v>1813600110</v>
          </cell>
          <cell r="B365" t="str">
            <v>הוצ" משכורת-דוברת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A366">
            <v>1813600750</v>
          </cell>
          <cell r="B366" t="str">
            <v>תוכנית דוברת-הפעלה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A367">
            <v>1813600810</v>
          </cell>
          <cell r="B367" t="str">
            <v>דוברת הסעות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1813620810</v>
          </cell>
          <cell r="B368" t="str">
            <v>השתת" בעליות טיולים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1813800110</v>
          </cell>
          <cell r="B369" t="str">
            <v>קייטנה זמניים</v>
          </cell>
          <cell r="C369">
            <v>0</v>
          </cell>
          <cell r="D369">
            <v>158994.47</v>
          </cell>
          <cell r="E369">
            <v>0</v>
          </cell>
          <cell r="F369">
            <v>158994.47</v>
          </cell>
          <cell r="G369">
            <v>-158994.47</v>
          </cell>
          <cell r="H369">
            <v>0</v>
          </cell>
          <cell r="I369">
            <v>0</v>
          </cell>
          <cell r="J369">
            <v>158994.47</v>
          </cell>
        </row>
        <row r="370">
          <cell r="A370">
            <v>1815100110</v>
          </cell>
          <cell r="B370" t="str">
            <v>משכורת בי"ס על יסודיים</v>
          </cell>
          <cell r="C370">
            <v>624750</v>
          </cell>
          <cell r="D370">
            <v>639626.09</v>
          </cell>
          <cell r="E370">
            <v>0</v>
          </cell>
          <cell r="F370">
            <v>639626.09</v>
          </cell>
          <cell r="G370">
            <v>-14876.09</v>
          </cell>
          <cell r="H370">
            <v>102.38</v>
          </cell>
          <cell r="I370">
            <v>750000</v>
          </cell>
          <cell r="J370">
            <v>639626.09</v>
          </cell>
        </row>
        <row r="371">
          <cell r="A371">
            <v>1815200320</v>
          </cell>
          <cell r="B371" t="str">
            <v>הוצ" פיצויים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1815200420</v>
          </cell>
          <cell r="B372" t="str">
            <v>אחזקת מבנים</v>
          </cell>
          <cell r="C372">
            <v>39150</v>
          </cell>
          <cell r="D372">
            <v>25043</v>
          </cell>
          <cell r="E372">
            <v>3296.5</v>
          </cell>
          <cell r="F372">
            <v>28339.5</v>
          </cell>
          <cell r="G372">
            <v>10810.5</v>
          </cell>
          <cell r="H372">
            <v>72.38</v>
          </cell>
          <cell r="I372">
            <v>47000</v>
          </cell>
          <cell r="J372">
            <v>25043</v>
          </cell>
        </row>
        <row r="373">
          <cell r="A373">
            <v>1815200425</v>
          </cell>
          <cell r="B373" t="str">
            <v>פינות פרטניות עוז לתמורה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A374">
            <v>1815200431</v>
          </cell>
          <cell r="B374" t="str">
            <v>חשמל</v>
          </cell>
          <cell r="C374">
            <v>107460</v>
          </cell>
          <cell r="D374">
            <v>124393.86</v>
          </cell>
          <cell r="E374">
            <v>0</v>
          </cell>
          <cell r="F374">
            <v>124393.86</v>
          </cell>
          <cell r="G374">
            <v>-16933.86</v>
          </cell>
          <cell r="H374">
            <v>115.75</v>
          </cell>
          <cell r="I374">
            <v>129000</v>
          </cell>
          <cell r="J374">
            <v>160477.13</v>
          </cell>
        </row>
        <row r="375">
          <cell r="A375">
            <v>1815200432</v>
          </cell>
          <cell r="B375" t="str">
            <v>מים</v>
          </cell>
          <cell r="C375">
            <v>45820</v>
          </cell>
          <cell r="D375">
            <v>0</v>
          </cell>
          <cell r="E375">
            <v>0</v>
          </cell>
          <cell r="F375">
            <v>0</v>
          </cell>
          <cell r="G375">
            <v>45820</v>
          </cell>
          <cell r="H375">
            <v>0</v>
          </cell>
          <cell r="I375">
            <v>55000</v>
          </cell>
          <cell r="J375">
            <v>0</v>
          </cell>
        </row>
        <row r="376">
          <cell r="A376">
            <v>1815200433</v>
          </cell>
          <cell r="B376" t="str">
            <v>חומרי נקיון</v>
          </cell>
          <cell r="C376">
            <v>23320</v>
          </cell>
          <cell r="D376">
            <v>21534</v>
          </cell>
          <cell r="E376">
            <v>894</v>
          </cell>
          <cell r="F376">
            <v>22428</v>
          </cell>
          <cell r="G376">
            <v>892</v>
          </cell>
          <cell r="H376">
            <v>96.17</v>
          </cell>
          <cell r="I376">
            <v>28000</v>
          </cell>
          <cell r="J376">
            <v>21534</v>
          </cell>
        </row>
        <row r="377">
          <cell r="A377">
            <v>1815200440</v>
          </cell>
          <cell r="B377" t="str">
            <v>ביטוחים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78">
          <cell r="A378">
            <v>1815200450</v>
          </cell>
          <cell r="B378" t="str">
            <v>ריהוט ואחזקתו</v>
          </cell>
          <cell r="C378">
            <v>10000</v>
          </cell>
          <cell r="D378">
            <v>2138.36</v>
          </cell>
          <cell r="E378">
            <v>6973.2</v>
          </cell>
          <cell r="F378">
            <v>9111.56</v>
          </cell>
          <cell r="G378">
            <v>888.44</v>
          </cell>
          <cell r="H378">
            <v>91.11</v>
          </cell>
          <cell r="I378">
            <v>12000</v>
          </cell>
          <cell r="J378">
            <v>6403.01</v>
          </cell>
        </row>
        <row r="379">
          <cell r="A379">
            <v>1815200470</v>
          </cell>
          <cell r="B379" t="str">
            <v>ציוד משרדי</v>
          </cell>
          <cell r="C379">
            <v>30820</v>
          </cell>
          <cell r="D379">
            <v>71539</v>
          </cell>
          <cell r="E379">
            <v>57116</v>
          </cell>
          <cell r="F379">
            <v>128655</v>
          </cell>
          <cell r="G379">
            <v>-97835</v>
          </cell>
          <cell r="H379">
            <v>417.43</v>
          </cell>
          <cell r="I379">
            <v>37000</v>
          </cell>
          <cell r="J379">
            <v>71539</v>
          </cell>
        </row>
        <row r="380">
          <cell r="A380">
            <v>1815200510</v>
          </cell>
          <cell r="B380" t="str">
            <v>דמי שתיה ועד עובדים</v>
          </cell>
          <cell r="C380">
            <v>8330</v>
          </cell>
          <cell r="D380">
            <v>0</v>
          </cell>
          <cell r="E380">
            <v>6257</v>
          </cell>
          <cell r="F380">
            <v>6257</v>
          </cell>
          <cell r="G380">
            <v>2073</v>
          </cell>
          <cell r="H380">
            <v>75.11</v>
          </cell>
          <cell r="I380">
            <v>10000</v>
          </cell>
          <cell r="J380">
            <v>0</v>
          </cell>
        </row>
        <row r="381">
          <cell r="A381">
            <v>1815200522</v>
          </cell>
          <cell r="B381" t="str">
            <v>ספרות מקצועית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A382">
            <v>1815200540</v>
          </cell>
          <cell r="B382" t="str">
            <v>טלפון</v>
          </cell>
          <cell r="C382">
            <v>17490</v>
          </cell>
          <cell r="D382">
            <v>0</v>
          </cell>
          <cell r="E382">
            <v>0</v>
          </cell>
          <cell r="F382">
            <v>0</v>
          </cell>
          <cell r="G382">
            <v>17490</v>
          </cell>
          <cell r="H382">
            <v>0</v>
          </cell>
          <cell r="I382">
            <v>21000</v>
          </cell>
          <cell r="J382">
            <v>0</v>
          </cell>
        </row>
        <row r="383">
          <cell r="A383">
            <v>1815200560</v>
          </cell>
          <cell r="B383" t="str">
            <v>צילומים והדפסות</v>
          </cell>
          <cell r="C383">
            <v>66640</v>
          </cell>
          <cell r="D383">
            <v>36083</v>
          </cell>
          <cell r="E383">
            <v>32105.360000000001</v>
          </cell>
          <cell r="F383">
            <v>68188.36</v>
          </cell>
          <cell r="G383">
            <v>-1548.36</v>
          </cell>
          <cell r="H383">
            <v>102.32</v>
          </cell>
          <cell r="I383">
            <v>80000</v>
          </cell>
          <cell r="J383">
            <v>48352</v>
          </cell>
        </row>
        <row r="384">
          <cell r="A384">
            <v>1815200570</v>
          </cell>
          <cell r="B384" t="str">
            <v>אומניות העיצוב</v>
          </cell>
          <cell r="C384">
            <v>25820</v>
          </cell>
          <cell r="D384">
            <v>15210</v>
          </cell>
          <cell r="E384">
            <v>0</v>
          </cell>
          <cell r="F384">
            <v>15210</v>
          </cell>
          <cell r="G384">
            <v>10610</v>
          </cell>
          <cell r="H384">
            <v>58.9</v>
          </cell>
          <cell r="I384">
            <v>31000</v>
          </cell>
          <cell r="J384">
            <v>15210</v>
          </cell>
        </row>
        <row r="385">
          <cell r="A385">
            <v>1815200580</v>
          </cell>
          <cell r="B385" t="str">
            <v>פרוייקט תעשיה ומדע</v>
          </cell>
          <cell r="C385">
            <v>55810</v>
          </cell>
          <cell r="D385">
            <v>77850</v>
          </cell>
          <cell r="E385">
            <v>0</v>
          </cell>
          <cell r="F385">
            <v>77850</v>
          </cell>
          <cell r="G385">
            <v>-22040</v>
          </cell>
          <cell r="H385">
            <v>139.49</v>
          </cell>
          <cell r="I385">
            <v>67000</v>
          </cell>
          <cell r="J385">
            <v>77850</v>
          </cell>
        </row>
        <row r="386">
          <cell r="A386">
            <v>1815200650</v>
          </cell>
          <cell r="B386" t="str">
            <v>פרוייקטים קהילתיים</v>
          </cell>
          <cell r="C386">
            <v>0</v>
          </cell>
          <cell r="D386">
            <v>0</v>
          </cell>
          <cell r="E386">
            <v>22987</v>
          </cell>
          <cell r="F386">
            <v>22987</v>
          </cell>
          <cell r="G386">
            <v>-22987</v>
          </cell>
          <cell r="H386">
            <v>0</v>
          </cell>
          <cell r="I386">
            <v>0</v>
          </cell>
          <cell r="J386">
            <v>0</v>
          </cell>
        </row>
        <row r="387">
          <cell r="A387">
            <v>1815200720</v>
          </cell>
          <cell r="B387" t="str">
            <v>מעבדות טכנולגיות</v>
          </cell>
          <cell r="C387">
            <v>0</v>
          </cell>
          <cell r="D387">
            <v>48933</v>
          </cell>
          <cell r="E387">
            <v>80456.350000000006</v>
          </cell>
          <cell r="F387">
            <v>129389.35</v>
          </cell>
          <cell r="G387">
            <v>-129389.35</v>
          </cell>
          <cell r="H387">
            <v>0</v>
          </cell>
          <cell r="I387">
            <v>0</v>
          </cell>
          <cell r="J387">
            <v>48933</v>
          </cell>
        </row>
        <row r="388">
          <cell r="A388">
            <v>1815200730</v>
          </cell>
          <cell r="B388" t="str">
            <v>מעבדת מכטרוניקה</v>
          </cell>
          <cell r="C388">
            <v>0</v>
          </cell>
          <cell r="D388">
            <v>41919.9</v>
          </cell>
          <cell r="E388">
            <v>53060.09</v>
          </cell>
          <cell r="F388">
            <v>94979.99</v>
          </cell>
          <cell r="G388">
            <v>-94979.99</v>
          </cell>
          <cell r="H388">
            <v>0</v>
          </cell>
          <cell r="I388">
            <v>0</v>
          </cell>
          <cell r="J388">
            <v>41919.9</v>
          </cell>
        </row>
        <row r="389">
          <cell r="A389">
            <v>1815200750</v>
          </cell>
          <cell r="B389" t="str">
            <v>שפוצים בי"ס ובטיחות</v>
          </cell>
          <cell r="C389">
            <v>73300</v>
          </cell>
          <cell r="D389">
            <v>0</v>
          </cell>
          <cell r="E389">
            <v>1600</v>
          </cell>
          <cell r="F389">
            <v>1600</v>
          </cell>
          <cell r="G389">
            <v>71700</v>
          </cell>
          <cell r="H389">
            <v>2.1800000000000002</v>
          </cell>
          <cell r="I389">
            <v>88000</v>
          </cell>
          <cell r="J389">
            <v>0</v>
          </cell>
        </row>
        <row r="390">
          <cell r="A390">
            <v>1815200780</v>
          </cell>
          <cell r="B390" t="str">
            <v>הסעות ושונות</v>
          </cell>
          <cell r="C390">
            <v>10000</v>
          </cell>
          <cell r="D390">
            <v>13982</v>
          </cell>
          <cell r="E390">
            <v>1600</v>
          </cell>
          <cell r="F390">
            <v>15582</v>
          </cell>
          <cell r="G390">
            <v>-5582</v>
          </cell>
          <cell r="H390">
            <v>155.82</v>
          </cell>
          <cell r="I390">
            <v>12000</v>
          </cell>
          <cell r="J390">
            <v>13982</v>
          </cell>
        </row>
        <row r="391">
          <cell r="A391">
            <v>1815200790</v>
          </cell>
          <cell r="B391" t="str">
            <v>תוכנית הדו"מ -הדרכת הורים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1815200800</v>
          </cell>
          <cell r="B392" t="str">
            <v>הרצאות ופעולות תרבות</v>
          </cell>
          <cell r="C392">
            <v>0</v>
          </cell>
          <cell r="D392">
            <v>19040</v>
          </cell>
          <cell r="E392">
            <v>0</v>
          </cell>
          <cell r="F392">
            <v>19040</v>
          </cell>
          <cell r="G392">
            <v>-19040</v>
          </cell>
          <cell r="H392">
            <v>0</v>
          </cell>
          <cell r="I392">
            <v>0</v>
          </cell>
          <cell r="J392">
            <v>19040</v>
          </cell>
        </row>
        <row r="393">
          <cell r="A393">
            <v>1815200810</v>
          </cell>
          <cell r="B393" t="str">
            <v>מניעת שימוש בסמים</v>
          </cell>
          <cell r="C393">
            <v>4170</v>
          </cell>
          <cell r="D393">
            <v>5500</v>
          </cell>
          <cell r="E393">
            <v>0</v>
          </cell>
          <cell r="F393">
            <v>5500</v>
          </cell>
          <cell r="G393">
            <v>-1330</v>
          </cell>
          <cell r="H393">
            <v>131.88999999999999</v>
          </cell>
          <cell r="I393">
            <v>5000</v>
          </cell>
          <cell r="J393">
            <v>5500</v>
          </cell>
        </row>
        <row r="394">
          <cell r="A394">
            <v>1815200850</v>
          </cell>
          <cell r="B394" t="str">
            <v>קשרים בינלאומיים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1815200930</v>
          </cell>
          <cell r="B395" t="str">
            <v>ציוד יסודי</v>
          </cell>
          <cell r="C395">
            <v>3330</v>
          </cell>
          <cell r="D395">
            <v>0</v>
          </cell>
          <cell r="E395">
            <v>0</v>
          </cell>
          <cell r="F395">
            <v>0</v>
          </cell>
          <cell r="G395">
            <v>3330</v>
          </cell>
          <cell r="H395">
            <v>0</v>
          </cell>
          <cell r="I395">
            <v>4000</v>
          </cell>
          <cell r="J395">
            <v>0</v>
          </cell>
        </row>
        <row r="396">
          <cell r="A396">
            <v>1815210580</v>
          </cell>
          <cell r="B396" t="str">
            <v>מחשב לכל ילד</v>
          </cell>
          <cell r="C396">
            <v>4170</v>
          </cell>
          <cell r="D396">
            <v>0</v>
          </cell>
          <cell r="E396">
            <v>0</v>
          </cell>
          <cell r="F396">
            <v>0</v>
          </cell>
          <cell r="G396">
            <v>4170</v>
          </cell>
          <cell r="H396">
            <v>0</v>
          </cell>
          <cell r="I396">
            <v>5000</v>
          </cell>
          <cell r="J396">
            <v>0</v>
          </cell>
        </row>
        <row r="397">
          <cell r="A397">
            <v>1815210720</v>
          </cell>
          <cell r="B397" t="str">
            <v>מעבדה</v>
          </cell>
          <cell r="C397">
            <v>0</v>
          </cell>
          <cell r="D397">
            <v>1600</v>
          </cell>
          <cell r="E397">
            <v>1200</v>
          </cell>
          <cell r="F397">
            <v>2800</v>
          </cell>
          <cell r="G397">
            <v>-2800</v>
          </cell>
          <cell r="H397">
            <v>0</v>
          </cell>
          <cell r="I397">
            <v>0</v>
          </cell>
          <cell r="J397">
            <v>1600</v>
          </cell>
        </row>
        <row r="398">
          <cell r="A398">
            <v>1815210930</v>
          </cell>
          <cell r="B398" t="str">
            <v>ציוד חדר טכנולוגיה</v>
          </cell>
          <cell r="C398">
            <v>13330</v>
          </cell>
          <cell r="D398">
            <v>0</v>
          </cell>
          <cell r="E398">
            <v>8127.05</v>
          </cell>
          <cell r="F398">
            <v>8127.05</v>
          </cell>
          <cell r="G398">
            <v>5202.95</v>
          </cell>
          <cell r="H398">
            <v>60.96</v>
          </cell>
          <cell r="I398">
            <v>16000</v>
          </cell>
          <cell r="J398">
            <v>0</v>
          </cell>
        </row>
        <row r="399">
          <cell r="A399">
            <v>1815211930</v>
          </cell>
          <cell r="B399" t="str">
            <v>הוצאות תחזוקה והפעלה של מעבדות</v>
          </cell>
          <cell r="C399">
            <v>0</v>
          </cell>
          <cell r="D399">
            <v>0</v>
          </cell>
          <cell r="E399">
            <v>3490</v>
          </cell>
          <cell r="F399">
            <v>3490</v>
          </cell>
          <cell r="G399">
            <v>-3490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1815212930</v>
          </cell>
          <cell r="B400" t="str">
            <v>הוצאות פעולות תרבות וחברה תיכו</v>
          </cell>
          <cell r="C400">
            <v>0</v>
          </cell>
          <cell r="D400">
            <v>2106</v>
          </cell>
          <cell r="E400">
            <v>1600</v>
          </cell>
          <cell r="F400">
            <v>3706</v>
          </cell>
          <cell r="G400">
            <v>-3706</v>
          </cell>
          <cell r="H400">
            <v>0</v>
          </cell>
          <cell r="I400">
            <v>0</v>
          </cell>
          <cell r="J400">
            <v>2106</v>
          </cell>
        </row>
        <row r="401">
          <cell r="A401">
            <v>1815300431</v>
          </cell>
          <cell r="B401" t="str">
            <v>חשמל מקיף גבעה</v>
          </cell>
          <cell r="C401">
            <v>61640</v>
          </cell>
          <cell r="D401">
            <v>73944.759999999995</v>
          </cell>
          <cell r="E401">
            <v>0</v>
          </cell>
          <cell r="F401">
            <v>73944.759999999995</v>
          </cell>
          <cell r="G401">
            <v>-12304.76</v>
          </cell>
          <cell r="H401">
            <v>119.96</v>
          </cell>
          <cell r="I401">
            <v>74000</v>
          </cell>
          <cell r="J401">
            <v>73944.759999999995</v>
          </cell>
        </row>
        <row r="402">
          <cell r="A402">
            <v>1815700110</v>
          </cell>
          <cell r="B402" t="str">
            <v>משכורת מקיף פרדיס</v>
          </cell>
          <cell r="C402">
            <v>8051780</v>
          </cell>
          <cell r="D402">
            <v>7577252.8799999999</v>
          </cell>
          <cell r="E402">
            <v>0</v>
          </cell>
          <cell r="F402">
            <v>7577252.8799999999</v>
          </cell>
          <cell r="G402">
            <v>474527.12</v>
          </cell>
          <cell r="H402">
            <v>94.1</v>
          </cell>
          <cell r="I402">
            <v>9666000</v>
          </cell>
          <cell r="J402">
            <v>7577252.8799999999</v>
          </cell>
        </row>
        <row r="403">
          <cell r="A403">
            <v>1815700312</v>
          </cell>
          <cell r="B403" t="str">
            <v>ע"ח מבטחים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4">
          <cell r="A404">
            <v>1815710432</v>
          </cell>
          <cell r="B404" t="str">
            <v>מטרות  ציל"ה</v>
          </cell>
          <cell r="C404">
            <v>0</v>
          </cell>
          <cell r="D404">
            <v>440000</v>
          </cell>
          <cell r="E404">
            <v>0</v>
          </cell>
          <cell r="F404">
            <v>440000</v>
          </cell>
          <cell r="G404">
            <v>-440000</v>
          </cell>
          <cell r="H404">
            <v>0</v>
          </cell>
          <cell r="I404">
            <v>0</v>
          </cell>
          <cell r="J404">
            <v>440000</v>
          </cell>
        </row>
        <row r="405">
          <cell r="A405">
            <v>1815710810</v>
          </cell>
          <cell r="B405" t="str">
            <v>סייעות ציל"ה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1815800110</v>
          </cell>
          <cell r="B406" t="str">
            <v>משכורת תיכון גבעה חדש</v>
          </cell>
          <cell r="C406">
            <v>2700590</v>
          </cell>
          <cell r="D406">
            <v>4232146.43</v>
          </cell>
          <cell r="E406">
            <v>0</v>
          </cell>
          <cell r="F406">
            <v>4232146.43</v>
          </cell>
          <cell r="G406">
            <v>-1531556.43</v>
          </cell>
          <cell r="H406">
            <v>156.71</v>
          </cell>
          <cell r="I406">
            <v>3242000</v>
          </cell>
          <cell r="J406">
            <v>4232146.43</v>
          </cell>
        </row>
        <row r="407">
          <cell r="A407">
            <v>1817000110</v>
          </cell>
          <cell r="B407" t="str">
            <v>הוצ משכורת</v>
          </cell>
          <cell r="C407">
            <v>1137050</v>
          </cell>
          <cell r="D407">
            <v>1280309.97</v>
          </cell>
          <cell r="E407">
            <v>0</v>
          </cell>
          <cell r="F407">
            <v>1280309.97</v>
          </cell>
          <cell r="G407">
            <v>-143259.97</v>
          </cell>
          <cell r="H407">
            <v>112.59</v>
          </cell>
          <cell r="I407">
            <v>1365000</v>
          </cell>
          <cell r="J407">
            <v>1280309.97</v>
          </cell>
        </row>
        <row r="408">
          <cell r="A408">
            <v>1817000460</v>
          </cell>
          <cell r="B408" t="str">
            <v>ריהוט וציוד לחינוך מיוחד</v>
          </cell>
          <cell r="C408">
            <v>4170</v>
          </cell>
          <cell r="D408">
            <v>1501</v>
          </cell>
          <cell r="E408">
            <v>4972.67</v>
          </cell>
          <cell r="F408">
            <v>6473.67</v>
          </cell>
          <cell r="G408">
            <v>-2303.67</v>
          </cell>
          <cell r="H408">
            <v>155.24</v>
          </cell>
          <cell r="I408">
            <v>5000</v>
          </cell>
          <cell r="J408">
            <v>4001</v>
          </cell>
        </row>
        <row r="409">
          <cell r="A409">
            <v>1817000470</v>
          </cell>
          <cell r="B409" t="str">
            <v>ציוד משרדי ומשחקים</v>
          </cell>
          <cell r="C409">
            <v>7500</v>
          </cell>
          <cell r="D409">
            <v>127</v>
          </cell>
          <cell r="E409">
            <v>6100</v>
          </cell>
          <cell r="F409">
            <v>6227</v>
          </cell>
          <cell r="G409">
            <v>1273</v>
          </cell>
          <cell r="H409">
            <v>83.02</v>
          </cell>
          <cell r="I409">
            <v>9000</v>
          </cell>
          <cell r="J409">
            <v>127</v>
          </cell>
        </row>
        <row r="410">
          <cell r="A410">
            <v>1817100750</v>
          </cell>
          <cell r="B410" t="str">
            <v>שמירה ובטחון מוסדות חינוך</v>
          </cell>
          <cell r="C410">
            <v>882980</v>
          </cell>
          <cell r="D410">
            <v>547539.55000000005</v>
          </cell>
          <cell r="E410">
            <v>5749.92</v>
          </cell>
          <cell r="F410">
            <v>553289.47</v>
          </cell>
          <cell r="G410">
            <v>329690.53000000003</v>
          </cell>
          <cell r="H410">
            <v>62.66</v>
          </cell>
          <cell r="I410">
            <v>1060000</v>
          </cell>
          <cell r="J410">
            <v>568055.5</v>
          </cell>
        </row>
        <row r="411">
          <cell r="A411">
            <v>1817300110</v>
          </cell>
          <cell r="B411" t="str">
            <v>משכורות</v>
          </cell>
          <cell r="C411">
            <v>608090</v>
          </cell>
          <cell r="D411">
            <v>527083.56000000006</v>
          </cell>
          <cell r="E411">
            <v>0</v>
          </cell>
          <cell r="F411">
            <v>527083.56000000006</v>
          </cell>
          <cell r="G411">
            <v>81006.44</v>
          </cell>
          <cell r="H411">
            <v>86.67</v>
          </cell>
          <cell r="I411">
            <v>730000</v>
          </cell>
          <cell r="J411">
            <v>527083.56000000006</v>
          </cell>
        </row>
        <row r="412">
          <cell r="A412">
            <v>1817300410</v>
          </cell>
          <cell r="B412" t="str">
            <v>שכ"ד פסיכולוגי</v>
          </cell>
          <cell r="C412">
            <v>19990</v>
          </cell>
          <cell r="D412">
            <v>24000</v>
          </cell>
          <cell r="E412">
            <v>0</v>
          </cell>
          <cell r="F412">
            <v>24000</v>
          </cell>
          <cell r="G412">
            <v>-4010</v>
          </cell>
          <cell r="H412">
            <v>120.06</v>
          </cell>
          <cell r="I412">
            <v>24000</v>
          </cell>
          <cell r="J412">
            <v>24000</v>
          </cell>
        </row>
        <row r="413">
          <cell r="A413">
            <v>1817300540</v>
          </cell>
          <cell r="B413" t="str">
            <v>טלפון פסיכולוגים</v>
          </cell>
          <cell r="C413">
            <v>0</v>
          </cell>
          <cell r="D413">
            <v>7472.62</v>
          </cell>
          <cell r="E413">
            <v>0</v>
          </cell>
          <cell r="F413">
            <v>7472.62</v>
          </cell>
          <cell r="G413">
            <v>-7472.62</v>
          </cell>
          <cell r="H413">
            <v>0</v>
          </cell>
          <cell r="I413">
            <v>0</v>
          </cell>
          <cell r="J413">
            <v>7472.62</v>
          </cell>
        </row>
        <row r="414">
          <cell r="A414">
            <v>1817300750</v>
          </cell>
          <cell r="B414" t="str">
            <v>שירות פסעכולוגי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>
            <v>1817300810</v>
          </cell>
          <cell r="B415" t="str">
            <v>שרות פסיכולוגי השת</v>
          </cell>
          <cell r="C415">
            <v>59140</v>
          </cell>
          <cell r="D415">
            <v>16800</v>
          </cell>
          <cell r="E415">
            <v>2843.1</v>
          </cell>
          <cell r="F415">
            <v>19643.099999999999</v>
          </cell>
          <cell r="G415">
            <v>39496.9</v>
          </cell>
          <cell r="H415">
            <v>33.21</v>
          </cell>
          <cell r="I415">
            <v>71000</v>
          </cell>
          <cell r="J415">
            <v>16800</v>
          </cell>
        </row>
        <row r="416">
          <cell r="A416">
            <v>1817400720</v>
          </cell>
          <cell r="B416" t="str">
            <v>חומרים מרפאת שניים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1817410110</v>
          </cell>
          <cell r="B417" t="str">
            <v>שרותי בריאות בי:ס שניים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>
            <v>1817700110</v>
          </cell>
          <cell r="B418" t="str">
            <v>משכורת    כוללת</v>
          </cell>
          <cell r="C418">
            <v>249070</v>
          </cell>
          <cell r="D418">
            <v>167643.94</v>
          </cell>
          <cell r="E418">
            <v>0</v>
          </cell>
          <cell r="F418">
            <v>167643.94</v>
          </cell>
          <cell r="G418">
            <v>81426.06</v>
          </cell>
          <cell r="H418">
            <v>67.3</v>
          </cell>
          <cell r="I418">
            <v>299000</v>
          </cell>
          <cell r="J418">
            <v>167643.94</v>
          </cell>
        </row>
        <row r="419">
          <cell r="A419">
            <v>1817700810</v>
          </cell>
          <cell r="B419" t="str">
            <v>פר"ח</v>
          </cell>
          <cell r="C419">
            <v>26660</v>
          </cell>
          <cell r="D419">
            <v>24800</v>
          </cell>
          <cell r="E419">
            <v>7545</v>
          </cell>
          <cell r="F419">
            <v>32345</v>
          </cell>
          <cell r="G419">
            <v>-5685</v>
          </cell>
          <cell r="H419">
            <v>121.32</v>
          </cell>
          <cell r="I419">
            <v>32000</v>
          </cell>
          <cell r="J419">
            <v>24800</v>
          </cell>
        </row>
        <row r="420">
          <cell r="A420">
            <v>1817710750</v>
          </cell>
          <cell r="B420" t="str">
            <v>מנ"ע -  מניעת נשירה מבי"ס</v>
          </cell>
          <cell r="C420">
            <v>0</v>
          </cell>
          <cell r="D420">
            <v>8951</v>
          </cell>
          <cell r="E420">
            <v>29800</v>
          </cell>
          <cell r="F420">
            <v>38751</v>
          </cell>
          <cell r="G420">
            <v>-38751</v>
          </cell>
          <cell r="H420">
            <v>0</v>
          </cell>
          <cell r="I420">
            <v>0</v>
          </cell>
          <cell r="J420">
            <v>8951</v>
          </cell>
        </row>
        <row r="421">
          <cell r="A421">
            <v>1817720920</v>
          </cell>
          <cell r="B421" t="str">
            <v>מילוי מקום מוסדות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>
            <v>1817800710</v>
          </cell>
          <cell r="B422" t="str">
            <v>הסעות-חיונוך מיוחד</v>
          </cell>
          <cell r="C422">
            <v>1327800</v>
          </cell>
          <cell r="D422">
            <v>1257856.3400000001</v>
          </cell>
          <cell r="E422">
            <v>6200</v>
          </cell>
          <cell r="F422">
            <v>1264056.3400000001</v>
          </cell>
          <cell r="G422">
            <v>63743.66</v>
          </cell>
          <cell r="H422">
            <v>95.19</v>
          </cell>
          <cell r="I422">
            <v>1594000</v>
          </cell>
          <cell r="J422">
            <v>1257856.3400000001</v>
          </cell>
        </row>
        <row r="423">
          <cell r="A423">
            <v>1817800711</v>
          </cell>
          <cell r="B423" t="str">
            <v>ליווי חינוך מיוחד</v>
          </cell>
          <cell r="C423">
            <v>173260</v>
          </cell>
          <cell r="D423">
            <v>0</v>
          </cell>
          <cell r="E423">
            <v>0</v>
          </cell>
          <cell r="F423">
            <v>0</v>
          </cell>
          <cell r="G423">
            <v>173260</v>
          </cell>
          <cell r="H423">
            <v>0</v>
          </cell>
          <cell r="I423">
            <v>208000</v>
          </cell>
          <cell r="J423">
            <v>0</v>
          </cell>
        </row>
        <row r="424">
          <cell r="A424">
            <v>1817800810</v>
          </cell>
          <cell r="B424" t="str">
            <v>ליווי חינוך מיוחד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>
            <v>1817830710</v>
          </cell>
          <cell r="B425" t="str">
            <v>ליווי חינוך מיוחד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>
            <v>1817840710</v>
          </cell>
          <cell r="B426" t="str">
            <v>שמירה למוסדות חינוך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>
            <v>1817880810</v>
          </cell>
          <cell r="B427" t="str">
            <v>שירות בריאותי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>
            <v>1817900750</v>
          </cell>
          <cell r="B428" t="str">
            <v>אספקת עובדים למוסדות</v>
          </cell>
          <cell r="C428">
            <v>505210</v>
          </cell>
          <cell r="D428">
            <v>1771153.62</v>
          </cell>
          <cell r="E428">
            <v>0</v>
          </cell>
          <cell r="F428">
            <v>1771153.62</v>
          </cell>
          <cell r="G428">
            <v>-1265943.6200000001</v>
          </cell>
          <cell r="H428">
            <v>350.57</v>
          </cell>
          <cell r="I428">
            <v>606500</v>
          </cell>
          <cell r="J428">
            <v>1771153.62</v>
          </cell>
        </row>
        <row r="429">
          <cell r="A429">
            <v>1817900810</v>
          </cell>
          <cell r="B429" t="str">
            <v>אספקת עובדים למוסדות</v>
          </cell>
          <cell r="C429">
            <v>505210</v>
          </cell>
          <cell r="D429">
            <v>0</v>
          </cell>
          <cell r="E429">
            <v>0</v>
          </cell>
          <cell r="F429">
            <v>0</v>
          </cell>
          <cell r="G429">
            <v>505210</v>
          </cell>
          <cell r="H429">
            <v>0</v>
          </cell>
          <cell r="I429">
            <v>606500</v>
          </cell>
          <cell r="J429">
            <v>0</v>
          </cell>
        </row>
        <row r="430">
          <cell r="A430">
            <v>1817900850</v>
          </cell>
          <cell r="B430" t="str">
            <v>מלגות סטודינטים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>
            <v>1818000110</v>
          </cell>
          <cell r="B431" t="str">
            <v>הוצ משכורת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>
            <v>1821000110</v>
          </cell>
          <cell r="B432" t="str">
            <v>משכורות ושכ"ע</v>
          </cell>
          <cell r="C432">
            <v>755530</v>
          </cell>
          <cell r="D432">
            <v>747560.88</v>
          </cell>
          <cell r="E432">
            <v>0</v>
          </cell>
          <cell r="F432">
            <v>747560.88</v>
          </cell>
          <cell r="G432">
            <v>7969.12</v>
          </cell>
          <cell r="H432">
            <v>98.94</v>
          </cell>
          <cell r="I432">
            <v>907000</v>
          </cell>
          <cell r="J432">
            <v>747560.88</v>
          </cell>
        </row>
        <row r="433">
          <cell r="A433">
            <v>1822000510</v>
          </cell>
          <cell r="B433" t="str">
            <v>מזון</v>
          </cell>
          <cell r="C433">
            <v>151610</v>
          </cell>
          <cell r="D433">
            <v>70246.720000000001</v>
          </cell>
          <cell r="E433">
            <v>16083.44</v>
          </cell>
          <cell r="F433">
            <v>86330.16</v>
          </cell>
          <cell r="G433">
            <v>65279.839999999997</v>
          </cell>
          <cell r="H433">
            <v>56.94</v>
          </cell>
          <cell r="I433">
            <v>182000</v>
          </cell>
          <cell r="J433">
            <v>75880.72</v>
          </cell>
        </row>
        <row r="434">
          <cell r="A434">
            <v>1822000650</v>
          </cell>
          <cell r="B434" t="str">
            <v>קייטנות</v>
          </cell>
          <cell r="C434">
            <v>0</v>
          </cell>
          <cell r="D434">
            <v>486208.53</v>
          </cell>
          <cell r="E434">
            <v>15954</v>
          </cell>
          <cell r="F434">
            <v>502162.53</v>
          </cell>
          <cell r="G434">
            <v>-502162.53</v>
          </cell>
          <cell r="H434">
            <v>0</v>
          </cell>
          <cell r="I434">
            <v>0</v>
          </cell>
          <cell r="J434">
            <v>486208.53</v>
          </cell>
        </row>
        <row r="435">
          <cell r="A435">
            <v>1822000750</v>
          </cell>
          <cell r="B435" t="str">
            <v>אחזקת שוטפת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>
            <v>1822000810</v>
          </cell>
          <cell r="B436" t="str">
            <v>מעדניות</v>
          </cell>
          <cell r="C436">
            <v>0</v>
          </cell>
          <cell r="D436">
            <v>77508</v>
          </cell>
          <cell r="E436">
            <v>1146.5999999999999</v>
          </cell>
          <cell r="F436">
            <v>78654.600000000006</v>
          </cell>
          <cell r="G436">
            <v>-78654.600000000006</v>
          </cell>
          <cell r="H436">
            <v>0</v>
          </cell>
          <cell r="I436">
            <v>0</v>
          </cell>
          <cell r="J436">
            <v>77508</v>
          </cell>
        </row>
        <row r="437">
          <cell r="A437">
            <v>1822000930</v>
          </cell>
          <cell r="B437" t="str">
            <v>ציוד יסודי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>
            <v>1823000110</v>
          </cell>
          <cell r="B438" t="str">
            <v>משכורת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>
            <v>1823000431</v>
          </cell>
          <cell r="B439" t="str">
            <v>חשמל ספריה צבורית</v>
          </cell>
          <cell r="C439">
            <v>10830</v>
          </cell>
          <cell r="D439">
            <v>8960.73</v>
          </cell>
          <cell r="E439">
            <v>0</v>
          </cell>
          <cell r="F439">
            <v>8960.73</v>
          </cell>
          <cell r="G439">
            <v>1869.27</v>
          </cell>
          <cell r="H439">
            <v>82.73</v>
          </cell>
          <cell r="I439">
            <v>13000</v>
          </cell>
          <cell r="J439">
            <v>8960.73</v>
          </cell>
        </row>
        <row r="440">
          <cell r="A440">
            <v>1823000560</v>
          </cell>
          <cell r="B440" t="str">
            <v>משרדיות</v>
          </cell>
          <cell r="C440">
            <v>8330</v>
          </cell>
          <cell r="D440">
            <v>5160</v>
          </cell>
          <cell r="E440">
            <v>0</v>
          </cell>
          <cell r="F440">
            <v>5160</v>
          </cell>
          <cell r="G440">
            <v>3170</v>
          </cell>
          <cell r="H440">
            <v>61.94</v>
          </cell>
          <cell r="I440">
            <v>10000</v>
          </cell>
          <cell r="J440">
            <v>5434</v>
          </cell>
        </row>
        <row r="441">
          <cell r="A441">
            <v>1823000750</v>
          </cell>
          <cell r="B441" t="str">
            <v>ספריה ציבורית אחזקה</v>
          </cell>
          <cell r="C441">
            <v>0</v>
          </cell>
          <cell r="D441">
            <v>23925.7</v>
          </cell>
          <cell r="E441">
            <v>6025</v>
          </cell>
          <cell r="F441">
            <v>29950.7</v>
          </cell>
          <cell r="G441">
            <v>-29950.7</v>
          </cell>
          <cell r="H441">
            <v>0</v>
          </cell>
          <cell r="I441">
            <v>0</v>
          </cell>
          <cell r="J441">
            <v>23925.7</v>
          </cell>
        </row>
        <row r="442">
          <cell r="A442">
            <v>1823000930</v>
          </cell>
          <cell r="B442" t="str">
            <v>ספריה צבורית ציוד יסודי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>
            <v>1824000780</v>
          </cell>
          <cell r="B443" t="str">
            <v>שונות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>
            <v>1828000110</v>
          </cell>
          <cell r="B444" t="str">
            <v>הוצ משכורת</v>
          </cell>
          <cell r="C444">
            <v>112460</v>
          </cell>
          <cell r="D444">
            <v>130966.46</v>
          </cell>
          <cell r="E444">
            <v>0</v>
          </cell>
          <cell r="F444">
            <v>130966.46</v>
          </cell>
          <cell r="G444">
            <v>-18506.46</v>
          </cell>
          <cell r="H444">
            <v>116.45</v>
          </cell>
          <cell r="I444">
            <v>135000</v>
          </cell>
          <cell r="J444">
            <v>130966.46</v>
          </cell>
        </row>
        <row r="445">
          <cell r="A445">
            <v>1828100110</v>
          </cell>
          <cell r="B445" t="str">
            <v>טיפול בנוער בסיכון</v>
          </cell>
          <cell r="C445">
            <v>204090</v>
          </cell>
          <cell r="D445">
            <v>187045.84</v>
          </cell>
          <cell r="E445">
            <v>0</v>
          </cell>
          <cell r="F445">
            <v>187045.84</v>
          </cell>
          <cell r="G445">
            <v>17044.16</v>
          </cell>
          <cell r="H445">
            <v>91.64</v>
          </cell>
          <cell r="I445">
            <v>245000</v>
          </cell>
          <cell r="J445">
            <v>187045.84</v>
          </cell>
        </row>
        <row r="446">
          <cell r="A446">
            <v>1828100750</v>
          </cell>
          <cell r="B446" t="str">
            <v>פעולות נוער בסיכון</v>
          </cell>
          <cell r="C446">
            <v>0</v>
          </cell>
          <cell r="D446">
            <v>42925</v>
          </cell>
          <cell r="E446">
            <v>0</v>
          </cell>
          <cell r="F446">
            <v>42925</v>
          </cell>
          <cell r="G446">
            <v>-42925</v>
          </cell>
          <cell r="H446">
            <v>0</v>
          </cell>
          <cell r="I446">
            <v>0</v>
          </cell>
          <cell r="J446">
            <v>55925</v>
          </cell>
        </row>
        <row r="447">
          <cell r="A447">
            <v>1828200110</v>
          </cell>
          <cell r="B447" t="str">
            <v>משכורת יחדת קידום נוער</v>
          </cell>
          <cell r="C447">
            <v>286550</v>
          </cell>
          <cell r="D447">
            <v>253588.81</v>
          </cell>
          <cell r="E447">
            <v>0</v>
          </cell>
          <cell r="F447">
            <v>253588.81</v>
          </cell>
          <cell r="G447">
            <v>32961.19</v>
          </cell>
          <cell r="H447">
            <v>88.49</v>
          </cell>
          <cell r="I447">
            <v>344000</v>
          </cell>
          <cell r="J447">
            <v>253588.81</v>
          </cell>
        </row>
        <row r="448">
          <cell r="A448">
            <v>1828200810</v>
          </cell>
          <cell r="B448" t="str">
            <v>מוקדי הפעלת בית נוער</v>
          </cell>
          <cell r="C448">
            <v>14160</v>
          </cell>
          <cell r="D448">
            <v>8945</v>
          </cell>
          <cell r="E448">
            <v>7642</v>
          </cell>
          <cell r="F448">
            <v>16587</v>
          </cell>
          <cell r="G448">
            <v>-2427</v>
          </cell>
          <cell r="H448">
            <v>117.13</v>
          </cell>
          <cell r="I448">
            <v>17000</v>
          </cell>
          <cell r="J448">
            <v>8945</v>
          </cell>
        </row>
        <row r="449">
          <cell r="A449">
            <v>1828210110</v>
          </cell>
          <cell r="B449" t="str">
            <v>שכר מנהל תכנית עיר ללא אלימות</v>
          </cell>
          <cell r="C449">
            <v>84130</v>
          </cell>
          <cell r="D449">
            <v>74694.78</v>
          </cell>
          <cell r="E449">
            <v>0</v>
          </cell>
          <cell r="F449">
            <v>74694.78</v>
          </cell>
          <cell r="G449">
            <v>9435.2199999999993</v>
          </cell>
          <cell r="H449">
            <v>88.78</v>
          </cell>
          <cell r="I449">
            <v>101000</v>
          </cell>
          <cell r="J449">
            <v>74694.78</v>
          </cell>
        </row>
        <row r="450">
          <cell r="A450">
            <v>1828210810</v>
          </cell>
          <cell r="B450" t="str">
            <v>תוכנית עיר ללא אלימות</v>
          </cell>
          <cell r="C450">
            <v>87470</v>
          </cell>
          <cell r="D450">
            <v>255291</v>
          </cell>
          <cell r="E450">
            <v>45998.2</v>
          </cell>
          <cell r="F450">
            <v>301289.2</v>
          </cell>
          <cell r="G450">
            <v>-213819.2</v>
          </cell>
          <cell r="H450">
            <v>344.44</v>
          </cell>
          <cell r="I450">
            <v>105000</v>
          </cell>
          <cell r="J450">
            <v>263791</v>
          </cell>
        </row>
        <row r="451">
          <cell r="A451">
            <v>1828220650</v>
          </cell>
          <cell r="B451" t="str">
            <v>פרוייקט מעשים טובים</v>
          </cell>
          <cell r="C451">
            <v>0</v>
          </cell>
          <cell r="D451">
            <v>3021.09</v>
          </cell>
          <cell r="E451">
            <v>7290.79</v>
          </cell>
          <cell r="F451">
            <v>10311.879999999999</v>
          </cell>
          <cell r="G451">
            <v>-10311.879999999999</v>
          </cell>
          <cell r="H451">
            <v>0</v>
          </cell>
          <cell r="I451">
            <v>0</v>
          </cell>
          <cell r="J451">
            <v>3021.09</v>
          </cell>
        </row>
        <row r="452">
          <cell r="A452">
            <v>1828220810</v>
          </cell>
          <cell r="B452" t="str">
            <v>חינוך בלתי פורמאלי</v>
          </cell>
          <cell r="C452">
            <v>0</v>
          </cell>
          <cell r="D452">
            <v>-100000</v>
          </cell>
          <cell r="E452">
            <v>0</v>
          </cell>
          <cell r="F452">
            <v>-100000</v>
          </cell>
          <cell r="G452">
            <v>100000</v>
          </cell>
          <cell r="H452">
            <v>0</v>
          </cell>
          <cell r="I452">
            <v>0</v>
          </cell>
          <cell r="J452">
            <v>-100000</v>
          </cell>
        </row>
        <row r="453">
          <cell r="A453">
            <v>1828226110</v>
          </cell>
          <cell r="B453" t="str">
            <v>אתגרים פעילויות</v>
          </cell>
          <cell r="C453">
            <v>0</v>
          </cell>
          <cell r="D453">
            <v>66531.06</v>
          </cell>
          <cell r="E453">
            <v>0</v>
          </cell>
          <cell r="F453">
            <v>66531.06</v>
          </cell>
          <cell r="G453">
            <v>-66531.06</v>
          </cell>
          <cell r="H453">
            <v>0</v>
          </cell>
          <cell r="I453">
            <v>0</v>
          </cell>
          <cell r="J453">
            <v>66531.06</v>
          </cell>
        </row>
        <row r="454">
          <cell r="A454">
            <v>1828310810</v>
          </cell>
          <cell r="B454" t="str">
            <v>מלגות לסטודנטים</v>
          </cell>
          <cell r="C454">
            <v>249900</v>
          </cell>
          <cell r="D454">
            <v>357000</v>
          </cell>
          <cell r="E454">
            <v>0</v>
          </cell>
          <cell r="F454">
            <v>357000</v>
          </cell>
          <cell r="G454">
            <v>-107100</v>
          </cell>
          <cell r="H454">
            <v>142.85</v>
          </cell>
          <cell r="I454">
            <v>300000</v>
          </cell>
          <cell r="J454">
            <v>357000</v>
          </cell>
        </row>
        <row r="455">
          <cell r="A455">
            <v>1828410810</v>
          </cell>
          <cell r="B455" t="str">
            <v>מחשב לכל ילד</v>
          </cell>
          <cell r="C455">
            <v>55810</v>
          </cell>
          <cell r="D455">
            <v>34719</v>
          </cell>
          <cell r="E455">
            <v>0</v>
          </cell>
          <cell r="F455">
            <v>34719</v>
          </cell>
          <cell r="G455">
            <v>21091</v>
          </cell>
          <cell r="H455">
            <v>62.2</v>
          </cell>
          <cell r="I455">
            <v>67000</v>
          </cell>
          <cell r="J455">
            <v>34719</v>
          </cell>
        </row>
        <row r="456">
          <cell r="A456">
            <v>1829000110</v>
          </cell>
          <cell r="B456" t="str">
            <v>הוצ משכורת</v>
          </cell>
          <cell r="C456">
            <v>272390</v>
          </cell>
          <cell r="D456">
            <v>186106.87</v>
          </cell>
          <cell r="E456">
            <v>0</v>
          </cell>
          <cell r="F456">
            <v>186106.87</v>
          </cell>
          <cell r="G456">
            <v>86283.13</v>
          </cell>
          <cell r="H456">
            <v>68.319999999999993</v>
          </cell>
          <cell r="I456">
            <v>327000</v>
          </cell>
          <cell r="J456">
            <v>186106.87</v>
          </cell>
        </row>
        <row r="457">
          <cell r="A457">
            <v>1829000540</v>
          </cell>
          <cell r="B457" t="str">
            <v>הוצ" תקשורת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>
            <v>1829100432</v>
          </cell>
          <cell r="B458" t="str">
            <v>הוצ" מים מגרש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>
            <v>1829100740</v>
          </cell>
          <cell r="B459" t="str">
            <v>אביזרי עזר למגרש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>
            <v>1829100750</v>
          </cell>
          <cell r="B460" t="str">
            <v>מתקני ספורט ומגרש</v>
          </cell>
          <cell r="C460">
            <v>118290</v>
          </cell>
          <cell r="D460">
            <v>110709</v>
          </cell>
          <cell r="E460">
            <v>31111.49</v>
          </cell>
          <cell r="F460">
            <v>141820.49</v>
          </cell>
          <cell r="G460">
            <v>-23530.49</v>
          </cell>
          <cell r="H460">
            <v>119.89</v>
          </cell>
          <cell r="I460">
            <v>142000</v>
          </cell>
          <cell r="J460">
            <v>110709</v>
          </cell>
        </row>
        <row r="461">
          <cell r="A461">
            <v>1829100780</v>
          </cell>
          <cell r="B461" t="str">
            <v>הסעות ספורט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>
            <v>1829100810</v>
          </cell>
          <cell r="B462" t="str">
            <v>תמיכות באגודות ספורט</v>
          </cell>
          <cell r="C462">
            <v>249900</v>
          </cell>
          <cell r="D462">
            <v>225000</v>
          </cell>
          <cell r="E462">
            <v>4800</v>
          </cell>
          <cell r="F462">
            <v>229800</v>
          </cell>
          <cell r="G462">
            <v>20100</v>
          </cell>
          <cell r="H462">
            <v>91.95</v>
          </cell>
          <cell r="I462">
            <v>300000</v>
          </cell>
          <cell r="J462">
            <v>225000</v>
          </cell>
        </row>
        <row r="463">
          <cell r="A463">
            <v>1829100910</v>
          </cell>
          <cell r="B463" t="str">
            <v>אולם ספואט השת" לתב"ר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>
            <v>1829100930</v>
          </cell>
          <cell r="B464" t="str">
            <v>ציודומתקנים ספורט</v>
          </cell>
          <cell r="C464">
            <v>33320</v>
          </cell>
          <cell r="D464">
            <v>8661</v>
          </cell>
          <cell r="E464">
            <v>26149.5</v>
          </cell>
          <cell r="F464">
            <v>34810.5</v>
          </cell>
          <cell r="G464">
            <v>-1490.5</v>
          </cell>
          <cell r="H464">
            <v>104.47</v>
          </cell>
          <cell r="I464">
            <v>40000</v>
          </cell>
          <cell r="J464">
            <v>8661</v>
          </cell>
        </row>
        <row r="465">
          <cell r="A465">
            <v>1829200110</v>
          </cell>
          <cell r="B465" t="str">
            <v>אחזקת מתקני ספורט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>
            <v>1829200431</v>
          </cell>
          <cell r="B466" t="str">
            <v>חשמל אולם ספורט</v>
          </cell>
          <cell r="C466">
            <v>5000</v>
          </cell>
          <cell r="D466">
            <v>0</v>
          </cell>
          <cell r="E466">
            <v>0</v>
          </cell>
          <cell r="F466">
            <v>0</v>
          </cell>
          <cell r="G466">
            <v>5000</v>
          </cell>
          <cell r="H466">
            <v>0</v>
          </cell>
          <cell r="I466">
            <v>6000</v>
          </cell>
          <cell r="J466">
            <v>0</v>
          </cell>
        </row>
        <row r="467">
          <cell r="A467">
            <v>1829200521</v>
          </cell>
          <cell r="B467" t="str">
            <v>השתלמות מנהלי ספורט</v>
          </cell>
          <cell r="C467">
            <v>1670</v>
          </cell>
          <cell r="D467">
            <v>0</v>
          </cell>
          <cell r="E467">
            <v>0</v>
          </cell>
          <cell r="F467">
            <v>0</v>
          </cell>
          <cell r="G467">
            <v>1670</v>
          </cell>
          <cell r="H467">
            <v>0</v>
          </cell>
          <cell r="I467">
            <v>2000</v>
          </cell>
          <cell r="J467">
            <v>0</v>
          </cell>
        </row>
        <row r="468">
          <cell r="A468">
            <v>1829300740</v>
          </cell>
          <cell r="B468" t="str">
            <v>ציוד למגרש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>
            <v>1829300810</v>
          </cell>
          <cell r="B469" t="str">
            <v>פעולות     ספורט</v>
          </cell>
          <cell r="C469">
            <v>19990</v>
          </cell>
          <cell r="D469">
            <v>0</v>
          </cell>
          <cell r="E469">
            <v>0</v>
          </cell>
          <cell r="F469">
            <v>0</v>
          </cell>
          <cell r="G469">
            <v>19990</v>
          </cell>
          <cell r="H469">
            <v>0</v>
          </cell>
          <cell r="I469">
            <v>24000</v>
          </cell>
          <cell r="J469">
            <v>0</v>
          </cell>
        </row>
        <row r="470">
          <cell r="A470">
            <v>1832400110</v>
          </cell>
          <cell r="B470" t="str">
            <v>משכורות ט.חלב</v>
          </cell>
          <cell r="C470">
            <v>54980</v>
          </cell>
          <cell r="D470">
            <v>51505.04</v>
          </cell>
          <cell r="E470">
            <v>0</v>
          </cell>
          <cell r="F470">
            <v>51505.04</v>
          </cell>
          <cell r="G470">
            <v>3474.96</v>
          </cell>
          <cell r="H470">
            <v>93.67</v>
          </cell>
          <cell r="I470">
            <v>66000</v>
          </cell>
          <cell r="J470">
            <v>51505.04</v>
          </cell>
        </row>
        <row r="471">
          <cell r="A471">
            <v>1832400420</v>
          </cell>
          <cell r="B471" t="str">
            <v>מרפאת שיניים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>
            <v>1832400431</v>
          </cell>
          <cell r="B472" t="str">
            <v>חשמל אם וילד</v>
          </cell>
          <cell r="C472">
            <v>10830</v>
          </cell>
          <cell r="D472">
            <v>5487.61</v>
          </cell>
          <cell r="E472">
            <v>0</v>
          </cell>
          <cell r="F472">
            <v>5487.61</v>
          </cell>
          <cell r="G472">
            <v>5342.39</v>
          </cell>
          <cell r="H472">
            <v>50.67</v>
          </cell>
          <cell r="I472">
            <v>13000</v>
          </cell>
          <cell r="J472">
            <v>5487.61</v>
          </cell>
        </row>
        <row r="473">
          <cell r="A473">
            <v>1832400540</v>
          </cell>
          <cell r="B473" t="str">
            <v>טלפון לתחנת ב.השן</v>
          </cell>
          <cell r="C473">
            <v>0</v>
          </cell>
          <cell r="D473">
            <v>6390.44</v>
          </cell>
          <cell r="E473">
            <v>0</v>
          </cell>
          <cell r="F473">
            <v>6390.44</v>
          </cell>
          <cell r="G473">
            <v>-6390.44</v>
          </cell>
          <cell r="H473">
            <v>0</v>
          </cell>
          <cell r="I473">
            <v>0</v>
          </cell>
          <cell r="J473">
            <v>6390.44</v>
          </cell>
        </row>
        <row r="474">
          <cell r="A474">
            <v>1832400780</v>
          </cell>
          <cell r="B474" t="str">
            <v>טיפת חלב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>
            <v>1832400930</v>
          </cell>
          <cell r="B475" t="str">
            <v>ציוד יסודי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>
            <v>1832400950</v>
          </cell>
          <cell r="B476" t="str">
            <v>תכנון מרכז _ת.בריאות ומשפ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>
            <v>1836200810</v>
          </cell>
          <cell r="B477" t="str">
            <v>נט"ן השתתפות</v>
          </cell>
          <cell r="C477">
            <v>28320</v>
          </cell>
          <cell r="D477">
            <v>25900.5</v>
          </cell>
          <cell r="E477">
            <v>0</v>
          </cell>
          <cell r="F477">
            <v>25900.5</v>
          </cell>
          <cell r="G477">
            <v>2419.5</v>
          </cell>
          <cell r="H477">
            <v>91.45</v>
          </cell>
          <cell r="I477">
            <v>34000</v>
          </cell>
          <cell r="J477">
            <v>25900.5</v>
          </cell>
        </row>
        <row r="478">
          <cell r="A478">
            <v>1841000110</v>
          </cell>
          <cell r="B478" t="str">
            <v>משכורת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</row>
        <row r="479">
          <cell r="A479">
            <v>1841000420</v>
          </cell>
          <cell r="B479" t="str">
            <v>אחזקת מבני רווחה</v>
          </cell>
          <cell r="C479">
            <v>11660</v>
          </cell>
          <cell r="D479">
            <v>31474</v>
          </cell>
          <cell r="E479">
            <v>10787.4</v>
          </cell>
          <cell r="F479">
            <v>42261.4</v>
          </cell>
          <cell r="G479">
            <v>-30601.4</v>
          </cell>
          <cell r="H479">
            <v>362.44</v>
          </cell>
          <cell r="I479">
            <v>14000</v>
          </cell>
          <cell r="J479">
            <v>31474</v>
          </cell>
        </row>
        <row r="480">
          <cell r="A480">
            <v>1841000430</v>
          </cell>
          <cell r="B480" t="str">
            <v>פעיליות בית זקנים</v>
          </cell>
          <cell r="C480">
            <v>35820</v>
          </cell>
          <cell r="D480">
            <v>5000</v>
          </cell>
          <cell r="E480">
            <v>5500</v>
          </cell>
          <cell r="F480">
            <v>10500</v>
          </cell>
          <cell r="G480">
            <v>25320</v>
          </cell>
          <cell r="H480">
            <v>29.31</v>
          </cell>
          <cell r="I480">
            <v>43000</v>
          </cell>
          <cell r="J480">
            <v>5000</v>
          </cell>
        </row>
        <row r="481">
          <cell r="A481">
            <v>1841000521</v>
          </cell>
          <cell r="B481" t="str">
            <v>השתלמיות</v>
          </cell>
          <cell r="C481">
            <v>0</v>
          </cell>
          <cell r="D481">
            <v>1700</v>
          </cell>
          <cell r="E481">
            <v>0</v>
          </cell>
          <cell r="F481">
            <v>1700</v>
          </cell>
          <cell r="G481">
            <v>-1700</v>
          </cell>
          <cell r="H481">
            <v>0</v>
          </cell>
          <cell r="I481">
            <v>0</v>
          </cell>
          <cell r="J481">
            <v>1700</v>
          </cell>
        </row>
        <row r="482">
          <cell r="A482">
            <v>1841000560</v>
          </cell>
          <cell r="B482" t="str">
            <v>משרדיות רווחה</v>
          </cell>
          <cell r="C482">
            <v>7500</v>
          </cell>
          <cell r="D482">
            <v>4374</v>
          </cell>
          <cell r="E482">
            <v>5305.84</v>
          </cell>
          <cell r="F482">
            <v>9679.84</v>
          </cell>
          <cell r="G482">
            <v>-2179.84</v>
          </cell>
          <cell r="H482">
            <v>129.06</v>
          </cell>
          <cell r="I482">
            <v>9000</v>
          </cell>
          <cell r="J482">
            <v>4655</v>
          </cell>
        </row>
        <row r="483">
          <cell r="A483">
            <v>1841000750</v>
          </cell>
          <cell r="B483" t="str">
            <v>שיפוצים משרדי רווחה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>
            <v>1841000760</v>
          </cell>
          <cell r="B484" t="str">
            <v>מרכז עוצמה -יעוץ לעובדי רווחה</v>
          </cell>
          <cell r="C484">
            <v>31650</v>
          </cell>
          <cell r="D484">
            <v>5000</v>
          </cell>
          <cell r="E484">
            <v>0</v>
          </cell>
          <cell r="F484">
            <v>5000</v>
          </cell>
          <cell r="G484">
            <v>26650</v>
          </cell>
          <cell r="H484">
            <v>15.79</v>
          </cell>
          <cell r="I484">
            <v>38000</v>
          </cell>
          <cell r="J484">
            <v>5000</v>
          </cell>
        </row>
        <row r="485">
          <cell r="A485">
            <v>1841000770</v>
          </cell>
          <cell r="B485" t="str">
            <v>סדנאות לנוער וצעירים ברווחה</v>
          </cell>
          <cell r="C485">
            <v>26660</v>
          </cell>
          <cell r="D485">
            <v>39646</v>
          </cell>
          <cell r="E485">
            <v>18786</v>
          </cell>
          <cell r="F485">
            <v>58432</v>
          </cell>
          <cell r="G485">
            <v>-31772</v>
          </cell>
          <cell r="H485">
            <v>219.17</v>
          </cell>
          <cell r="I485">
            <v>32000</v>
          </cell>
          <cell r="J485">
            <v>39646</v>
          </cell>
        </row>
        <row r="486">
          <cell r="A486">
            <v>1841000780</v>
          </cell>
          <cell r="B486" t="str">
            <v>שונות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1841100810</v>
          </cell>
          <cell r="B487" t="str">
            <v>הו"ארגוניות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>
            <v>1841200810</v>
          </cell>
          <cell r="B488" t="str">
            <v>הסעות רווחה</v>
          </cell>
          <cell r="C488">
            <v>67470</v>
          </cell>
          <cell r="D488">
            <v>21528</v>
          </cell>
          <cell r="E488">
            <v>0</v>
          </cell>
          <cell r="F488">
            <v>21528</v>
          </cell>
          <cell r="G488">
            <v>45942</v>
          </cell>
          <cell r="H488">
            <v>31.9</v>
          </cell>
          <cell r="I488">
            <v>81000</v>
          </cell>
          <cell r="J488">
            <v>21528</v>
          </cell>
        </row>
        <row r="489">
          <cell r="A489">
            <v>1842000110</v>
          </cell>
          <cell r="B489" t="str">
            <v>משכורות רווחה</v>
          </cell>
          <cell r="C489">
            <v>1479410</v>
          </cell>
          <cell r="D489">
            <v>1462389.21</v>
          </cell>
          <cell r="E489">
            <v>0</v>
          </cell>
          <cell r="F489">
            <v>1462389.21</v>
          </cell>
          <cell r="G489">
            <v>17020.79</v>
          </cell>
          <cell r="H489">
            <v>98.84</v>
          </cell>
          <cell r="I489">
            <v>1776000</v>
          </cell>
          <cell r="J489">
            <v>1462389.21</v>
          </cell>
        </row>
        <row r="490">
          <cell r="A490">
            <v>1842000540</v>
          </cell>
          <cell r="B490" t="str">
            <v>טלפון לשכת רווחה</v>
          </cell>
          <cell r="C490">
            <v>11660</v>
          </cell>
          <cell r="D490">
            <v>11076.94</v>
          </cell>
          <cell r="E490">
            <v>0</v>
          </cell>
          <cell r="F490">
            <v>11076.94</v>
          </cell>
          <cell r="G490">
            <v>583.05999999999995</v>
          </cell>
          <cell r="H490">
            <v>94.99</v>
          </cell>
          <cell r="I490">
            <v>14000</v>
          </cell>
          <cell r="J490">
            <v>11076.94</v>
          </cell>
        </row>
        <row r="491">
          <cell r="A491">
            <v>1842200840</v>
          </cell>
          <cell r="B491" t="str">
            <v>משפחות במצוקה קהילתית</v>
          </cell>
          <cell r="C491">
            <v>130780</v>
          </cell>
          <cell r="D491">
            <v>213260</v>
          </cell>
          <cell r="E491">
            <v>0</v>
          </cell>
          <cell r="F491">
            <v>213260</v>
          </cell>
          <cell r="G491">
            <v>-82480</v>
          </cell>
          <cell r="H491">
            <v>163.06</v>
          </cell>
          <cell r="I491">
            <v>157000</v>
          </cell>
          <cell r="J491">
            <v>213260</v>
          </cell>
        </row>
        <row r="492">
          <cell r="A492">
            <v>1842210810</v>
          </cell>
          <cell r="B492" t="str">
            <v>קייטנת אמהות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</row>
        <row r="493">
          <cell r="A493">
            <v>1842210840</v>
          </cell>
          <cell r="B493" t="str">
            <v>סיוע למשפחות עם ילדים</v>
          </cell>
          <cell r="C493">
            <v>243240</v>
          </cell>
          <cell r="D493">
            <v>253802</v>
          </cell>
          <cell r="E493">
            <v>0</v>
          </cell>
          <cell r="F493">
            <v>253802</v>
          </cell>
          <cell r="G493">
            <v>-10562</v>
          </cell>
          <cell r="H493">
            <v>104.34</v>
          </cell>
          <cell r="I493">
            <v>292000</v>
          </cell>
          <cell r="J493">
            <v>253802</v>
          </cell>
        </row>
        <row r="494">
          <cell r="A494">
            <v>1842220810</v>
          </cell>
          <cell r="B494" t="str">
            <v>בית חם לנערות</v>
          </cell>
          <cell r="C494">
            <v>288220</v>
          </cell>
          <cell r="D494">
            <v>302900</v>
          </cell>
          <cell r="E494">
            <v>0</v>
          </cell>
          <cell r="F494">
            <v>302900</v>
          </cell>
          <cell r="G494">
            <v>-14680</v>
          </cell>
          <cell r="H494">
            <v>105.09</v>
          </cell>
          <cell r="I494">
            <v>346000</v>
          </cell>
          <cell r="J494">
            <v>302900</v>
          </cell>
        </row>
        <row r="495">
          <cell r="A495">
            <v>1842222510</v>
          </cell>
          <cell r="B495" t="str">
            <v>צרכי משרד רווחה</v>
          </cell>
          <cell r="C495">
            <v>0</v>
          </cell>
          <cell r="D495">
            <v>702</v>
          </cell>
          <cell r="E495">
            <v>371.42</v>
          </cell>
          <cell r="F495">
            <v>1073.42</v>
          </cell>
          <cell r="G495">
            <v>-1073.42</v>
          </cell>
          <cell r="H495">
            <v>0</v>
          </cell>
          <cell r="I495">
            <v>0</v>
          </cell>
          <cell r="J495">
            <v>702</v>
          </cell>
        </row>
        <row r="496">
          <cell r="A496">
            <v>1842222930</v>
          </cell>
          <cell r="B496" t="str">
            <v>צרכי משרד רווחה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>
            <v>1842230810</v>
          </cell>
          <cell r="B497" t="str">
            <v>מרכזי טיפול באלימות</v>
          </cell>
          <cell r="C497">
            <v>42480</v>
          </cell>
          <cell r="D497">
            <v>100757</v>
          </cell>
          <cell r="E497">
            <v>0</v>
          </cell>
          <cell r="F497">
            <v>100757</v>
          </cell>
          <cell r="G497">
            <v>-58277</v>
          </cell>
          <cell r="H497">
            <v>237.18</v>
          </cell>
          <cell r="I497">
            <v>51000</v>
          </cell>
          <cell r="J497">
            <v>100757</v>
          </cell>
        </row>
        <row r="498">
          <cell r="A498">
            <v>1842500810</v>
          </cell>
          <cell r="B498" t="str">
            <v>סמך מקצועי</v>
          </cell>
          <cell r="C498">
            <v>830</v>
          </cell>
          <cell r="D498">
            <v>0</v>
          </cell>
          <cell r="E498">
            <v>0</v>
          </cell>
          <cell r="F498">
            <v>0</v>
          </cell>
          <cell r="G498">
            <v>830</v>
          </cell>
          <cell r="H498">
            <v>0</v>
          </cell>
          <cell r="I498">
            <v>1000</v>
          </cell>
          <cell r="J498">
            <v>0</v>
          </cell>
        </row>
        <row r="499">
          <cell r="A499">
            <v>1842510810</v>
          </cell>
          <cell r="B499" t="str">
            <v>מכון וינגנט</v>
          </cell>
          <cell r="C499">
            <v>6660</v>
          </cell>
          <cell r="D499">
            <v>0</v>
          </cell>
          <cell r="E499">
            <v>0</v>
          </cell>
          <cell r="F499">
            <v>0</v>
          </cell>
          <cell r="G499">
            <v>6660</v>
          </cell>
          <cell r="H499">
            <v>0</v>
          </cell>
          <cell r="I499">
            <v>8000</v>
          </cell>
          <cell r="J499">
            <v>0</v>
          </cell>
        </row>
        <row r="500">
          <cell r="A500">
            <v>1842600410</v>
          </cell>
          <cell r="B500" t="str">
            <v>שכר דירה משרד רווח</v>
          </cell>
          <cell r="C500">
            <v>51650</v>
          </cell>
          <cell r="D500">
            <v>74400</v>
          </cell>
          <cell r="E500">
            <v>0</v>
          </cell>
          <cell r="F500">
            <v>74400</v>
          </cell>
          <cell r="G500">
            <v>-22750</v>
          </cell>
          <cell r="H500">
            <v>144.04</v>
          </cell>
          <cell r="I500">
            <v>62000</v>
          </cell>
          <cell r="J500">
            <v>74400</v>
          </cell>
        </row>
        <row r="501">
          <cell r="A501">
            <v>1843500810</v>
          </cell>
          <cell r="B501" t="str">
            <v>רכזות משפחתונים</v>
          </cell>
          <cell r="C501">
            <v>1248670</v>
          </cell>
          <cell r="D501">
            <v>1311711</v>
          </cell>
          <cell r="E501">
            <v>0</v>
          </cell>
          <cell r="F501">
            <v>1311711</v>
          </cell>
          <cell r="G501">
            <v>-63041</v>
          </cell>
          <cell r="H501">
            <v>105.04</v>
          </cell>
          <cell r="I501">
            <v>1499000</v>
          </cell>
          <cell r="J501">
            <v>1450832</v>
          </cell>
        </row>
        <row r="502">
          <cell r="A502">
            <v>1843510840</v>
          </cell>
          <cell r="B502" t="str">
            <v>טיפול בילד בקהילה</v>
          </cell>
          <cell r="C502">
            <v>353190</v>
          </cell>
          <cell r="D502">
            <v>411418</v>
          </cell>
          <cell r="E502">
            <v>0</v>
          </cell>
          <cell r="F502">
            <v>411418</v>
          </cell>
          <cell r="G502">
            <v>-58228</v>
          </cell>
          <cell r="H502">
            <v>116.48</v>
          </cell>
          <cell r="I502">
            <v>424000</v>
          </cell>
          <cell r="J502">
            <v>411418</v>
          </cell>
        </row>
        <row r="503">
          <cell r="A503">
            <v>1843800840</v>
          </cell>
          <cell r="B503" t="str">
            <v>אחזקת ילדים בפנימיות</v>
          </cell>
          <cell r="C503">
            <v>242400</v>
          </cell>
          <cell r="D503">
            <v>200420</v>
          </cell>
          <cell r="E503">
            <v>0</v>
          </cell>
          <cell r="F503">
            <v>200420</v>
          </cell>
          <cell r="G503">
            <v>41980</v>
          </cell>
          <cell r="H503">
            <v>82.68</v>
          </cell>
          <cell r="I503">
            <v>291000</v>
          </cell>
          <cell r="J503">
            <v>200420</v>
          </cell>
        </row>
        <row r="504">
          <cell r="A504">
            <v>1843900810</v>
          </cell>
          <cell r="B504" t="str">
            <v>ילדים במעון יום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>
            <v>1843910810</v>
          </cell>
          <cell r="B505" t="str">
            <v>אומנה יומית</v>
          </cell>
          <cell r="C505">
            <v>15830</v>
          </cell>
          <cell r="D505">
            <v>12771</v>
          </cell>
          <cell r="E505">
            <v>0</v>
          </cell>
          <cell r="F505">
            <v>12771</v>
          </cell>
          <cell r="G505">
            <v>3059</v>
          </cell>
          <cell r="H505">
            <v>80.67</v>
          </cell>
          <cell r="I505">
            <v>19000</v>
          </cell>
          <cell r="J505">
            <v>12771</v>
          </cell>
        </row>
        <row r="506">
          <cell r="A506">
            <v>1844000110</v>
          </cell>
          <cell r="B506" t="str">
            <v>משכורת כוללת</v>
          </cell>
          <cell r="C506">
            <v>69140</v>
          </cell>
          <cell r="D506">
            <v>67502.55</v>
          </cell>
          <cell r="E506">
            <v>0</v>
          </cell>
          <cell r="F506">
            <v>67502.55</v>
          </cell>
          <cell r="G506">
            <v>1637.45</v>
          </cell>
          <cell r="H506">
            <v>97.63</v>
          </cell>
          <cell r="I506">
            <v>83000</v>
          </cell>
          <cell r="J506">
            <v>67502.55</v>
          </cell>
        </row>
        <row r="507">
          <cell r="A507">
            <v>1844000431</v>
          </cell>
          <cell r="B507" t="str">
            <v>חשמל בית הקשיש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</row>
        <row r="508">
          <cell r="A508">
            <v>1844000980</v>
          </cell>
          <cell r="B508" t="str">
            <v>הוצ" שונות בית זקנים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>
            <v>1844410810</v>
          </cell>
          <cell r="B509" t="str">
            <v>צרכים מיוחדים לזקן</v>
          </cell>
          <cell r="C509">
            <v>44150</v>
          </cell>
          <cell r="D509">
            <v>49256</v>
          </cell>
          <cell r="E509">
            <v>0</v>
          </cell>
          <cell r="F509">
            <v>49256</v>
          </cell>
          <cell r="G509">
            <v>-5106</v>
          </cell>
          <cell r="H509">
            <v>111.56</v>
          </cell>
          <cell r="I509">
            <v>53000</v>
          </cell>
          <cell r="J509">
            <v>49256</v>
          </cell>
        </row>
        <row r="510">
          <cell r="A510">
            <v>1844410840</v>
          </cell>
          <cell r="B510" t="str">
            <v>טיפול בזקן בקהילה</v>
          </cell>
          <cell r="C510">
            <v>81630</v>
          </cell>
          <cell r="D510">
            <v>79353</v>
          </cell>
          <cell r="E510">
            <v>0</v>
          </cell>
          <cell r="F510">
            <v>79353</v>
          </cell>
          <cell r="G510">
            <v>2277</v>
          </cell>
          <cell r="H510">
            <v>97.21</v>
          </cell>
          <cell r="I510">
            <v>98000</v>
          </cell>
          <cell r="J510">
            <v>79353</v>
          </cell>
        </row>
        <row r="511">
          <cell r="A511">
            <v>1845100840</v>
          </cell>
          <cell r="B511" t="str">
            <v>סדור מפגרים במוסדות</v>
          </cell>
          <cell r="C511">
            <v>466480</v>
          </cell>
          <cell r="D511">
            <v>597296</v>
          </cell>
          <cell r="E511">
            <v>0</v>
          </cell>
          <cell r="F511">
            <v>597296</v>
          </cell>
          <cell r="G511">
            <v>-130816</v>
          </cell>
          <cell r="H511">
            <v>128.04</v>
          </cell>
          <cell r="I511">
            <v>560000</v>
          </cell>
          <cell r="J511">
            <v>597296</v>
          </cell>
        </row>
        <row r="512">
          <cell r="A512">
            <v>1845110840</v>
          </cell>
          <cell r="B512" t="str">
            <v>מפגרים במעון טיפולי</v>
          </cell>
          <cell r="C512">
            <v>613090</v>
          </cell>
          <cell r="D512">
            <v>551862</v>
          </cell>
          <cell r="E512">
            <v>0</v>
          </cell>
          <cell r="F512">
            <v>551862</v>
          </cell>
          <cell r="G512">
            <v>61228</v>
          </cell>
          <cell r="H512">
            <v>90.01</v>
          </cell>
          <cell r="I512">
            <v>736000</v>
          </cell>
          <cell r="J512">
            <v>551862</v>
          </cell>
        </row>
        <row r="513">
          <cell r="A513">
            <v>1845120840</v>
          </cell>
          <cell r="B513" t="str">
            <v>הסעות למעון יום טיפולי</v>
          </cell>
          <cell r="C513">
            <v>509800</v>
          </cell>
          <cell r="D513">
            <v>552647</v>
          </cell>
          <cell r="E513">
            <v>0</v>
          </cell>
          <cell r="F513">
            <v>552647</v>
          </cell>
          <cell r="G513">
            <v>-42847</v>
          </cell>
          <cell r="H513">
            <v>108.4</v>
          </cell>
          <cell r="I513">
            <v>612000</v>
          </cell>
          <cell r="J513">
            <v>552647</v>
          </cell>
        </row>
        <row r="514">
          <cell r="A514">
            <v>1845200840</v>
          </cell>
          <cell r="B514" t="str">
            <v>מעשי"ם</v>
          </cell>
          <cell r="C514">
            <v>78300</v>
          </cell>
          <cell r="D514">
            <v>50232</v>
          </cell>
          <cell r="E514">
            <v>0</v>
          </cell>
          <cell r="F514">
            <v>50232</v>
          </cell>
          <cell r="G514">
            <v>28068</v>
          </cell>
          <cell r="H514">
            <v>64.150000000000006</v>
          </cell>
          <cell r="I514">
            <v>94000</v>
          </cell>
          <cell r="J514">
            <v>50232</v>
          </cell>
        </row>
        <row r="515">
          <cell r="A515">
            <v>1845210840</v>
          </cell>
          <cell r="B515" t="str">
            <v>מפגרים במעון אמוני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6">
          <cell r="A516">
            <v>1845300840</v>
          </cell>
          <cell r="B516" t="str">
            <v>שרותים תומכים למפגר</v>
          </cell>
          <cell r="C516">
            <v>0</v>
          </cell>
          <cell r="D516">
            <v>3550</v>
          </cell>
          <cell r="E516">
            <v>0</v>
          </cell>
          <cell r="F516">
            <v>3550</v>
          </cell>
          <cell r="G516">
            <v>-3550</v>
          </cell>
          <cell r="H516">
            <v>0</v>
          </cell>
          <cell r="I516">
            <v>0</v>
          </cell>
          <cell r="J516">
            <v>3550</v>
          </cell>
        </row>
        <row r="517">
          <cell r="A517">
            <v>1845500840</v>
          </cell>
          <cell r="B517" t="str">
            <v>תוכנית עם הפנים לקהילה</v>
          </cell>
          <cell r="C517">
            <v>101630</v>
          </cell>
          <cell r="D517">
            <v>85401</v>
          </cell>
          <cell r="E517">
            <v>0</v>
          </cell>
          <cell r="F517">
            <v>85401</v>
          </cell>
          <cell r="G517">
            <v>16229</v>
          </cell>
          <cell r="H517">
            <v>84.03</v>
          </cell>
          <cell r="I517">
            <v>122000</v>
          </cell>
          <cell r="J517">
            <v>85401</v>
          </cell>
        </row>
        <row r="518">
          <cell r="A518">
            <v>1846300840</v>
          </cell>
          <cell r="B518" t="str">
            <v>דמי ליווי לעוור</v>
          </cell>
          <cell r="C518">
            <v>10830</v>
          </cell>
          <cell r="D518">
            <v>10714</v>
          </cell>
          <cell r="E518">
            <v>0</v>
          </cell>
          <cell r="F518">
            <v>10714</v>
          </cell>
          <cell r="G518">
            <v>116</v>
          </cell>
          <cell r="H518">
            <v>98.92</v>
          </cell>
          <cell r="I518">
            <v>13000</v>
          </cell>
          <cell r="J518">
            <v>10714</v>
          </cell>
        </row>
        <row r="519">
          <cell r="A519">
            <v>1846310840</v>
          </cell>
          <cell r="B519" t="str">
            <v>דמי תקשורת לחרשים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A520">
            <v>1846350840</v>
          </cell>
          <cell r="B520" t="str">
            <v>כ"א בחינוך מיוחד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>
            <v>1846600840</v>
          </cell>
          <cell r="B521" t="str">
            <v>מלחמה בסמים</v>
          </cell>
          <cell r="C521">
            <v>0</v>
          </cell>
          <cell r="D521">
            <v>27181</v>
          </cell>
          <cell r="E521">
            <v>0</v>
          </cell>
          <cell r="F521">
            <v>27181</v>
          </cell>
          <cell r="G521">
            <v>-27181</v>
          </cell>
          <cell r="H521">
            <v>0</v>
          </cell>
          <cell r="I521">
            <v>0</v>
          </cell>
          <cell r="J521">
            <v>27181</v>
          </cell>
        </row>
        <row r="522">
          <cell r="A522">
            <v>1846610810</v>
          </cell>
          <cell r="B522" t="str">
            <v>מעדונית משפחתית</v>
          </cell>
          <cell r="C522">
            <v>83300</v>
          </cell>
          <cell r="D522">
            <v>80924</v>
          </cell>
          <cell r="E522">
            <v>0</v>
          </cell>
          <cell r="F522">
            <v>80924</v>
          </cell>
          <cell r="G522">
            <v>2376</v>
          </cell>
          <cell r="H522">
            <v>97.14</v>
          </cell>
          <cell r="I522">
            <v>100000</v>
          </cell>
          <cell r="J522">
            <v>80924</v>
          </cell>
        </row>
        <row r="523">
          <cell r="A523">
            <v>1846610840</v>
          </cell>
          <cell r="B523" t="str">
            <v>מעדוניות משוטפות</v>
          </cell>
          <cell r="C523">
            <v>0</v>
          </cell>
          <cell r="D523">
            <v>13026</v>
          </cell>
          <cell r="E523">
            <v>0</v>
          </cell>
          <cell r="F523">
            <v>13026</v>
          </cell>
          <cell r="G523">
            <v>-13026</v>
          </cell>
          <cell r="H523">
            <v>0</v>
          </cell>
          <cell r="I523">
            <v>0</v>
          </cell>
          <cell r="J523">
            <v>13026</v>
          </cell>
        </row>
        <row r="524">
          <cell r="A524">
            <v>1846800810</v>
          </cell>
          <cell r="B524" t="str">
            <v>מפעלי שיקום</v>
          </cell>
          <cell r="C524">
            <v>14160</v>
          </cell>
          <cell r="D524">
            <v>48160</v>
          </cell>
          <cell r="E524">
            <v>0</v>
          </cell>
          <cell r="F524">
            <v>48160</v>
          </cell>
          <cell r="G524">
            <v>-34000</v>
          </cell>
          <cell r="H524">
            <v>340.11</v>
          </cell>
          <cell r="I524">
            <v>17000</v>
          </cell>
          <cell r="J524">
            <v>48160</v>
          </cell>
        </row>
        <row r="525">
          <cell r="A525">
            <v>1846800840</v>
          </cell>
          <cell r="B525" t="str">
            <v>מרכזי אבחון ושיקום</v>
          </cell>
          <cell r="C525">
            <v>180760</v>
          </cell>
          <cell r="D525">
            <v>253325</v>
          </cell>
          <cell r="E525">
            <v>0</v>
          </cell>
          <cell r="F525">
            <v>253325</v>
          </cell>
          <cell r="G525">
            <v>-72565</v>
          </cell>
          <cell r="H525">
            <v>140.13999999999999</v>
          </cell>
          <cell r="I525">
            <v>217000</v>
          </cell>
          <cell r="J525">
            <v>253325</v>
          </cell>
        </row>
        <row r="526">
          <cell r="A526">
            <v>1847300840</v>
          </cell>
          <cell r="B526" t="str">
            <v>א/ע שמרון מטבחחים השתתפות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A527">
            <v>1850000431</v>
          </cell>
          <cell r="B527" t="str">
            <v>חשמל מסגדים</v>
          </cell>
          <cell r="C527">
            <v>79970</v>
          </cell>
          <cell r="D527">
            <v>61587.82</v>
          </cell>
          <cell r="E527">
            <v>0</v>
          </cell>
          <cell r="F527">
            <v>61587.82</v>
          </cell>
          <cell r="G527">
            <v>18382.18</v>
          </cell>
          <cell r="H527">
            <v>77.010000000000005</v>
          </cell>
          <cell r="I527">
            <v>96000</v>
          </cell>
          <cell r="J527">
            <v>61587.82</v>
          </cell>
        </row>
        <row r="528">
          <cell r="A528">
            <v>1853000432</v>
          </cell>
          <cell r="B528" t="str">
            <v>מים מסגדים וקברותץ</v>
          </cell>
          <cell r="C528">
            <v>31650</v>
          </cell>
          <cell r="D528">
            <v>0</v>
          </cell>
          <cell r="E528">
            <v>0</v>
          </cell>
          <cell r="F528">
            <v>0</v>
          </cell>
          <cell r="G528">
            <v>31650</v>
          </cell>
          <cell r="H528">
            <v>0</v>
          </cell>
          <cell r="I528">
            <v>38000</v>
          </cell>
          <cell r="J528">
            <v>0</v>
          </cell>
        </row>
        <row r="529">
          <cell r="A529">
            <v>1853000750</v>
          </cell>
          <cell r="B529" t="str">
            <v>עבודות קבלניות-מסגדים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</row>
        <row r="530">
          <cell r="A530">
            <v>1853000810</v>
          </cell>
          <cell r="B530" t="str">
            <v>תמכיה במסגדים</v>
          </cell>
          <cell r="C530">
            <v>2500</v>
          </cell>
          <cell r="D530">
            <v>0</v>
          </cell>
          <cell r="E530">
            <v>0</v>
          </cell>
          <cell r="F530">
            <v>0</v>
          </cell>
          <cell r="G530">
            <v>2500</v>
          </cell>
          <cell r="H530">
            <v>0</v>
          </cell>
          <cell r="I530">
            <v>3000</v>
          </cell>
          <cell r="J530">
            <v>0</v>
          </cell>
        </row>
        <row r="531">
          <cell r="A531">
            <v>1853000820</v>
          </cell>
          <cell r="B531" t="str">
            <v>תמיכה באימאם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2">
          <cell r="A532">
            <v>1912000110</v>
          </cell>
          <cell r="B532" t="str">
            <v>משכורות   כלליות</v>
          </cell>
          <cell r="C532">
            <v>101630</v>
          </cell>
          <cell r="D532">
            <v>30562.35</v>
          </cell>
          <cell r="E532">
            <v>0</v>
          </cell>
          <cell r="F532">
            <v>30562.35</v>
          </cell>
          <cell r="G532">
            <v>71067.649999999994</v>
          </cell>
          <cell r="H532">
            <v>30.07</v>
          </cell>
          <cell r="I532">
            <v>122000</v>
          </cell>
          <cell r="J532">
            <v>30562.35</v>
          </cell>
        </row>
        <row r="533">
          <cell r="A533">
            <v>1913000540</v>
          </cell>
          <cell r="B533" t="str">
            <v>הוצ" תקשורת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4">
          <cell r="A534">
            <v>1913000732</v>
          </cell>
          <cell r="B534" t="str">
            <v>תקונים וח-ח רכב</v>
          </cell>
          <cell r="C534">
            <v>11660</v>
          </cell>
          <cell r="D534">
            <v>7348.9</v>
          </cell>
          <cell r="E534">
            <v>0</v>
          </cell>
          <cell r="F534">
            <v>7348.9</v>
          </cell>
          <cell r="G534">
            <v>4311.1000000000004</v>
          </cell>
          <cell r="H534">
            <v>63.02</v>
          </cell>
          <cell r="I534">
            <v>14000</v>
          </cell>
          <cell r="J534">
            <v>7348.9</v>
          </cell>
        </row>
        <row r="535">
          <cell r="A535">
            <v>1913100720</v>
          </cell>
          <cell r="B535" t="str">
            <v>קנית ממים ממקורות</v>
          </cell>
          <cell r="C535">
            <v>2728910</v>
          </cell>
          <cell r="D535">
            <v>2427451.65</v>
          </cell>
          <cell r="E535">
            <v>0</v>
          </cell>
          <cell r="F535">
            <v>2427451.65</v>
          </cell>
          <cell r="G535">
            <v>301458.34999999998</v>
          </cell>
          <cell r="H535">
            <v>88.95</v>
          </cell>
          <cell r="I535">
            <v>3276000</v>
          </cell>
          <cell r="J535">
            <v>2714284.17</v>
          </cell>
        </row>
        <row r="536">
          <cell r="A536">
            <v>1913200110</v>
          </cell>
          <cell r="B536" t="str">
            <v>משכורות</v>
          </cell>
          <cell r="C536">
            <v>163270</v>
          </cell>
          <cell r="D536">
            <v>137636.68</v>
          </cell>
          <cell r="E536">
            <v>0</v>
          </cell>
          <cell r="F536">
            <v>137636.68</v>
          </cell>
          <cell r="G536">
            <v>25633.32</v>
          </cell>
          <cell r="H536">
            <v>84.3</v>
          </cell>
          <cell r="I536">
            <v>196000</v>
          </cell>
          <cell r="J536">
            <v>137636.68</v>
          </cell>
        </row>
        <row r="537">
          <cell r="A537">
            <v>1913200431</v>
          </cell>
          <cell r="B537" t="str">
            <v>חשמל מ.מים</v>
          </cell>
          <cell r="C537">
            <v>65810</v>
          </cell>
          <cell r="D537">
            <v>57602.96</v>
          </cell>
          <cell r="E537">
            <v>0</v>
          </cell>
          <cell r="F537">
            <v>57602.96</v>
          </cell>
          <cell r="G537">
            <v>8207.0400000000009</v>
          </cell>
          <cell r="H537">
            <v>87.52</v>
          </cell>
          <cell r="I537">
            <v>79000</v>
          </cell>
          <cell r="J537">
            <v>57602.96</v>
          </cell>
        </row>
        <row r="538">
          <cell r="A538">
            <v>1913200720</v>
          </cell>
          <cell r="B538" t="str">
            <v>קרן שיקום צנרת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39">
          <cell r="A539">
            <v>1913200731</v>
          </cell>
          <cell r="B539" t="str">
            <v>דלק</v>
          </cell>
          <cell r="C539">
            <v>6660</v>
          </cell>
          <cell r="D539">
            <v>19172.05</v>
          </cell>
          <cell r="E539">
            <v>0</v>
          </cell>
          <cell r="F539">
            <v>19172.05</v>
          </cell>
          <cell r="G539">
            <v>-12512.05</v>
          </cell>
          <cell r="H539">
            <v>287.86</v>
          </cell>
          <cell r="I539">
            <v>8000</v>
          </cell>
          <cell r="J539">
            <v>19172.05</v>
          </cell>
        </row>
        <row r="540">
          <cell r="A540">
            <v>1913200750</v>
          </cell>
          <cell r="B540" t="str">
            <v>אחזקת מערכת מים</v>
          </cell>
          <cell r="C540">
            <v>123280</v>
          </cell>
          <cell r="D540">
            <v>67623.45</v>
          </cell>
          <cell r="E540">
            <v>50281.61</v>
          </cell>
          <cell r="F540">
            <v>117905.06</v>
          </cell>
          <cell r="G540">
            <v>5374.94</v>
          </cell>
          <cell r="H540">
            <v>95.64</v>
          </cell>
          <cell r="I540">
            <v>148000</v>
          </cell>
          <cell r="J540">
            <v>79817.850000000006</v>
          </cell>
        </row>
        <row r="541">
          <cell r="A541">
            <v>1913200910</v>
          </cell>
          <cell r="B541" t="str">
            <v>השתתפות בתב"ר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</row>
        <row r="542">
          <cell r="A542">
            <v>1913200930</v>
          </cell>
          <cell r="B542" t="str">
            <v>רכישת ציוד יסודי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>
            <v>1913300731</v>
          </cell>
          <cell r="B543" t="str">
            <v>הוצ עודפת</v>
          </cell>
          <cell r="C543">
            <v>12500</v>
          </cell>
          <cell r="D543">
            <v>13200</v>
          </cell>
          <cell r="E543">
            <v>0</v>
          </cell>
          <cell r="F543">
            <v>13200</v>
          </cell>
          <cell r="G543">
            <v>-700</v>
          </cell>
          <cell r="H543">
            <v>105.6</v>
          </cell>
          <cell r="I543">
            <v>15000</v>
          </cell>
          <cell r="J543">
            <v>13200</v>
          </cell>
        </row>
        <row r="544">
          <cell r="A544">
            <v>1970000110</v>
          </cell>
          <cell r="B544" t="str">
            <v>הוצ" משכורת / תיעול ויקוז</v>
          </cell>
          <cell r="C544">
            <v>114120</v>
          </cell>
          <cell r="D544">
            <v>132016.56</v>
          </cell>
          <cell r="E544">
            <v>0</v>
          </cell>
          <cell r="F544">
            <v>132016.56</v>
          </cell>
          <cell r="G544">
            <v>-17896.560000000001</v>
          </cell>
          <cell r="H544">
            <v>115.68</v>
          </cell>
          <cell r="I544">
            <v>137000</v>
          </cell>
          <cell r="J544">
            <v>132016.56</v>
          </cell>
        </row>
        <row r="545">
          <cell r="A545">
            <v>1973000431</v>
          </cell>
          <cell r="B545" t="str">
            <v>חשמל מכון שאיבה</v>
          </cell>
          <cell r="C545">
            <v>14990</v>
          </cell>
          <cell r="D545">
            <v>0</v>
          </cell>
          <cell r="E545">
            <v>0</v>
          </cell>
          <cell r="F545">
            <v>0</v>
          </cell>
          <cell r="G545">
            <v>14990</v>
          </cell>
          <cell r="H545">
            <v>0</v>
          </cell>
          <cell r="I545">
            <v>18000</v>
          </cell>
          <cell r="J545">
            <v>0</v>
          </cell>
        </row>
        <row r="546">
          <cell r="A546">
            <v>1973000440</v>
          </cell>
          <cell r="B546" t="str">
            <v>ביטוחים</v>
          </cell>
          <cell r="C546">
            <v>22490</v>
          </cell>
          <cell r="D546">
            <v>22132</v>
          </cell>
          <cell r="E546">
            <v>0</v>
          </cell>
          <cell r="F546">
            <v>22132</v>
          </cell>
          <cell r="G546">
            <v>358</v>
          </cell>
          <cell r="H546">
            <v>98.4</v>
          </cell>
          <cell r="I546">
            <v>27000</v>
          </cell>
          <cell r="J546">
            <v>22132</v>
          </cell>
        </row>
        <row r="547">
          <cell r="A547">
            <v>1973000691</v>
          </cell>
          <cell r="B547" t="str">
            <v>קרן ביוב</v>
          </cell>
          <cell r="C547">
            <v>7500</v>
          </cell>
          <cell r="D547">
            <v>6561.3</v>
          </cell>
          <cell r="E547">
            <v>0</v>
          </cell>
          <cell r="F547">
            <v>6561.3</v>
          </cell>
          <cell r="G547">
            <v>938.7</v>
          </cell>
          <cell r="H547">
            <v>87.48</v>
          </cell>
          <cell r="I547">
            <v>9000</v>
          </cell>
          <cell r="J547">
            <v>6561.3</v>
          </cell>
        </row>
        <row r="548">
          <cell r="A548">
            <v>1973000692</v>
          </cell>
          <cell r="B548" t="str">
            <v>ריבית ביוב</v>
          </cell>
          <cell r="C548">
            <v>5000</v>
          </cell>
          <cell r="D548">
            <v>4046.99</v>
          </cell>
          <cell r="E548">
            <v>0</v>
          </cell>
          <cell r="F548">
            <v>4046.99</v>
          </cell>
          <cell r="G548">
            <v>953.01</v>
          </cell>
          <cell r="H548">
            <v>80.930000000000007</v>
          </cell>
          <cell r="I548">
            <v>6000</v>
          </cell>
          <cell r="J548">
            <v>4046.99</v>
          </cell>
        </row>
        <row r="549">
          <cell r="A549">
            <v>1973000693</v>
          </cell>
          <cell r="B549" t="str">
            <v>הצמדה ביוב</v>
          </cell>
          <cell r="C549">
            <v>830</v>
          </cell>
          <cell r="D549">
            <v>961.15</v>
          </cell>
          <cell r="E549">
            <v>0</v>
          </cell>
          <cell r="F549">
            <v>961.15</v>
          </cell>
          <cell r="G549">
            <v>-131.15</v>
          </cell>
          <cell r="H549">
            <v>115.8</v>
          </cell>
          <cell r="I549">
            <v>1000</v>
          </cell>
          <cell r="J549">
            <v>961.15</v>
          </cell>
        </row>
        <row r="550">
          <cell r="A550">
            <v>1973000750</v>
          </cell>
          <cell r="B550" t="str">
            <v>אחזקת מכון שאיבה</v>
          </cell>
          <cell r="C550">
            <v>167430</v>
          </cell>
          <cell r="D550">
            <v>134723</v>
          </cell>
          <cell r="E550">
            <v>17982.900000000001</v>
          </cell>
          <cell r="F550">
            <v>152705.9</v>
          </cell>
          <cell r="G550">
            <v>14724.1</v>
          </cell>
          <cell r="H550">
            <v>91.2</v>
          </cell>
          <cell r="I550">
            <v>201000</v>
          </cell>
          <cell r="J550">
            <v>136006</v>
          </cell>
        </row>
        <row r="551">
          <cell r="A551">
            <v>1973000760</v>
          </cell>
          <cell r="B551" t="str">
            <v>מט"ש מעיין צבי אחזקה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>
            <v>1973000810</v>
          </cell>
          <cell r="B552" t="str">
            <v>מט"ש מעיין צבי אחזקה</v>
          </cell>
          <cell r="C552">
            <v>541450</v>
          </cell>
          <cell r="D552">
            <v>100000</v>
          </cell>
          <cell r="E552">
            <v>0</v>
          </cell>
          <cell r="F552">
            <v>100000</v>
          </cell>
          <cell r="G552">
            <v>441450</v>
          </cell>
          <cell r="H552">
            <v>18.46</v>
          </cell>
          <cell r="I552">
            <v>650000</v>
          </cell>
          <cell r="J552">
            <v>100000</v>
          </cell>
        </row>
        <row r="553">
          <cell r="A553">
            <v>1973000930</v>
          </cell>
          <cell r="B553" t="str">
            <v>ציוד יסודי-מערכת ביוב</v>
          </cell>
          <cell r="C553">
            <v>0</v>
          </cell>
          <cell r="D553">
            <v>-100000</v>
          </cell>
          <cell r="E553">
            <v>0</v>
          </cell>
          <cell r="F553">
            <v>-100000</v>
          </cell>
          <cell r="G553">
            <v>100000</v>
          </cell>
          <cell r="H553">
            <v>0</v>
          </cell>
          <cell r="I553">
            <v>0</v>
          </cell>
          <cell r="J553">
            <v>-100000</v>
          </cell>
        </row>
        <row r="554">
          <cell r="A554">
            <v>1973100750</v>
          </cell>
          <cell r="B554" t="str">
            <v>תיקונים קווי ביוב פנימיים וחיב</v>
          </cell>
          <cell r="C554">
            <v>0</v>
          </cell>
          <cell r="D554">
            <v>0</v>
          </cell>
          <cell r="E554">
            <v>7066.8</v>
          </cell>
          <cell r="F554">
            <v>7066.8</v>
          </cell>
          <cell r="G554">
            <v>-7066.8</v>
          </cell>
          <cell r="H554">
            <v>0</v>
          </cell>
          <cell r="I554">
            <v>0</v>
          </cell>
          <cell r="J554">
            <v>0</v>
          </cell>
        </row>
        <row r="555">
          <cell r="A555">
            <v>1992000091</v>
          </cell>
          <cell r="B555" t="str">
            <v>הוצאות חד פעמיות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</row>
        <row r="556">
          <cell r="A556">
            <v>1992000910</v>
          </cell>
          <cell r="B556" t="str">
            <v>הוצ" ח"פ והעברות לתבר"ם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</row>
        <row r="557">
          <cell r="A557">
            <v>1992000960</v>
          </cell>
          <cell r="B557" t="str">
            <v>הוצ" מותנות</v>
          </cell>
          <cell r="C557">
            <v>1406940</v>
          </cell>
          <cell r="D557">
            <v>0</v>
          </cell>
          <cell r="E557">
            <v>0</v>
          </cell>
          <cell r="F557">
            <v>0</v>
          </cell>
          <cell r="G557">
            <v>1406940</v>
          </cell>
          <cell r="H557">
            <v>0</v>
          </cell>
          <cell r="I557">
            <v>1689000</v>
          </cell>
          <cell r="J557">
            <v>0</v>
          </cell>
        </row>
        <row r="558">
          <cell r="A558">
            <v>1992000991</v>
          </cell>
          <cell r="B558" t="str">
            <v>הוצאות חד פעמיות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>
            <v>1995000860</v>
          </cell>
          <cell r="B559" t="str">
            <v>הנחות ממסים לפי חוק</v>
          </cell>
          <cell r="C559">
            <v>2129150</v>
          </cell>
          <cell r="D559">
            <v>1256699.5</v>
          </cell>
          <cell r="E559">
            <v>0</v>
          </cell>
          <cell r="F559">
            <v>1256699.5</v>
          </cell>
          <cell r="G559">
            <v>872450.5</v>
          </cell>
          <cell r="H559">
            <v>59.02</v>
          </cell>
          <cell r="I559">
            <v>2556000</v>
          </cell>
          <cell r="J559">
            <v>1256699.5</v>
          </cell>
        </row>
        <row r="560">
          <cell r="A560">
            <v>1998000115</v>
          </cell>
          <cell r="B560" t="str">
            <v>תוספות אחרות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ותרת"/>
      <sheetName val="ריכוז"/>
      <sheetName val="גרפים"/>
      <sheetName val="הכנסות לפי פרק"/>
      <sheetName val="הוצאות לפי פרק"/>
      <sheetName val="הכ"/>
      <sheetName val="תקבולים"/>
      <sheetName val="הוצ"/>
      <sheetName val="תשלומים"/>
      <sheetName val="דוח כספי 10.17 מעודכן"/>
      <sheetName val="66 לפי מחלקה"/>
      <sheetName val="66"/>
      <sheetName val="גיליון1"/>
      <sheetName val="כספי"/>
      <sheetName val="תקציב שכר"/>
      <sheetName val="דוח כספי 31.10"/>
      <sheetName val="תקבולים 2017"/>
      <sheetName val="תשלומים 2017"/>
      <sheetName val="הערות"/>
    </sheetNames>
    <sheetDataSet>
      <sheetData sheetId="0"/>
      <sheetData sheetId="1"/>
      <sheetData sheetId="2"/>
      <sheetData sheetId="3"/>
      <sheetData sheetId="4"/>
      <sheetData sheetId="5"/>
      <sheetData sheetId="6">
        <row r="350">
          <cell r="F350" t="e">
            <v>#REF!</v>
          </cell>
          <cell r="G350" t="e">
            <v>#REF!</v>
          </cell>
          <cell r="H350" t="e">
            <v>#REF!</v>
          </cell>
          <cell r="I350" t="e">
            <v>#REF!</v>
          </cell>
          <cell r="L350" t="e">
            <v>#REF!</v>
          </cell>
          <cell r="M350" t="e">
            <v>#REF!</v>
          </cell>
          <cell r="N350" t="e">
            <v>#REF!</v>
          </cell>
          <cell r="O350" t="e">
            <v>#N/A</v>
          </cell>
          <cell r="P350">
            <v>62584000</v>
          </cell>
          <cell r="Q350">
            <v>54645205.549999997</v>
          </cell>
          <cell r="R350">
            <v>71086500</v>
          </cell>
          <cell r="S350">
            <v>65629810.772</v>
          </cell>
          <cell r="T350">
            <v>71862000</v>
          </cell>
        </row>
      </sheetData>
      <sheetData sheetId="7"/>
      <sheetData sheetId="8"/>
      <sheetData sheetId="9">
        <row r="1">
          <cell r="A1" t="str">
            <v>חשבון</v>
          </cell>
          <cell r="B1" t="str">
            <v>שם חשבון</v>
          </cell>
          <cell r="C1" t="str">
            <v>תקציב יחסי</v>
          </cell>
          <cell r="D1" t="str">
            <v>ביצוע יחסי</v>
          </cell>
        </row>
        <row r="2">
          <cell r="A2">
            <v>1111000100</v>
          </cell>
          <cell r="B2" t="str">
            <v>ארנונה</v>
          </cell>
          <cell r="C2">
            <v>-3681860</v>
          </cell>
          <cell r="D2">
            <v>-3550518.54</v>
          </cell>
        </row>
        <row r="3">
          <cell r="A3">
            <v>1112000121</v>
          </cell>
          <cell r="B3" t="str">
            <v>הכנסות פיגורים</v>
          </cell>
          <cell r="C3">
            <v>-1181190</v>
          </cell>
          <cell r="D3">
            <v>-132200.14000000001</v>
          </cell>
        </row>
        <row r="4">
          <cell r="A4">
            <v>1112000122</v>
          </cell>
          <cell r="B4" t="str">
            <v>ארנונה פיגורים 2008</v>
          </cell>
          <cell r="C4">
            <v>-36650</v>
          </cell>
          <cell r="D4">
            <v>-2238.09</v>
          </cell>
        </row>
        <row r="5">
          <cell r="A5">
            <v>1112000123</v>
          </cell>
          <cell r="B5" t="str">
            <v>ארנונה פירורים 2009</v>
          </cell>
          <cell r="C5">
            <v>-37490</v>
          </cell>
          <cell r="D5">
            <v>-57715.02</v>
          </cell>
        </row>
        <row r="6">
          <cell r="A6">
            <v>1112000124</v>
          </cell>
          <cell r="B6" t="str">
            <v>ארנונה פיגורים 2010</v>
          </cell>
          <cell r="C6">
            <v>-44980</v>
          </cell>
          <cell r="D6">
            <v>-15940.53</v>
          </cell>
        </row>
        <row r="7">
          <cell r="A7">
            <v>1112000125</v>
          </cell>
          <cell r="B7" t="str">
            <v>ארנונה פיגורים 2011</v>
          </cell>
          <cell r="C7">
            <v>-80800</v>
          </cell>
          <cell r="D7">
            <v>-8826.9599999999991</v>
          </cell>
        </row>
        <row r="8">
          <cell r="A8">
            <v>1112000126</v>
          </cell>
          <cell r="B8" t="str">
            <v>ארנונה פיגורים 2012</v>
          </cell>
          <cell r="C8">
            <v>-116620</v>
          </cell>
          <cell r="D8">
            <v>-16285.82</v>
          </cell>
        </row>
        <row r="9">
          <cell r="A9">
            <v>1112000127</v>
          </cell>
          <cell r="B9" t="str">
            <v>ארנונה פיגורים 2013</v>
          </cell>
          <cell r="C9">
            <v>-179100</v>
          </cell>
          <cell r="D9">
            <v>-32514.5</v>
          </cell>
        </row>
        <row r="10">
          <cell r="A10">
            <v>1112000128</v>
          </cell>
          <cell r="B10" t="str">
            <v>ארנונה פיגורים 2014</v>
          </cell>
          <cell r="C10">
            <v>-381510</v>
          </cell>
          <cell r="D10">
            <v>-76422.11</v>
          </cell>
        </row>
        <row r="11">
          <cell r="A11">
            <v>1112000129</v>
          </cell>
          <cell r="B11" t="str">
            <v>ארנונה פיגורים 2015</v>
          </cell>
          <cell r="C11">
            <v>0</v>
          </cell>
          <cell r="D11">
            <v>-82740.92</v>
          </cell>
        </row>
        <row r="12">
          <cell r="A12">
            <v>1112000130</v>
          </cell>
          <cell r="B12" t="str">
            <v>ארנונה פיגורים 2016</v>
          </cell>
          <cell r="C12">
            <v>0</v>
          </cell>
          <cell r="D12">
            <v>-456559.37</v>
          </cell>
        </row>
        <row r="13">
          <cell r="A13">
            <v>1115000100</v>
          </cell>
          <cell r="B13" t="str">
            <v>הנחות לזכאים</v>
          </cell>
          <cell r="C13">
            <v>-2129150</v>
          </cell>
          <cell r="D13">
            <v>-1256699.5</v>
          </cell>
        </row>
        <row r="14">
          <cell r="A14">
            <v>1121000290</v>
          </cell>
          <cell r="B14" t="str">
            <v>תעודות ואישורים</v>
          </cell>
          <cell r="C14">
            <v>-2500</v>
          </cell>
          <cell r="D14">
            <v>-1850</v>
          </cell>
        </row>
        <row r="15">
          <cell r="A15">
            <v>1125000290</v>
          </cell>
          <cell r="B15" t="str">
            <v>גביית הוצאות אכיפה</v>
          </cell>
          <cell r="C15">
            <v>-89960</v>
          </cell>
          <cell r="D15">
            <v>-77973.460000000006</v>
          </cell>
        </row>
        <row r="16">
          <cell r="A16">
            <v>1129000290</v>
          </cell>
          <cell r="B16" t="str">
            <v>אגרות מים ובניה</v>
          </cell>
          <cell r="C16">
            <v>-236570</v>
          </cell>
          <cell r="D16">
            <v>-136650.03</v>
          </cell>
        </row>
        <row r="17">
          <cell r="A17">
            <v>1129200290</v>
          </cell>
          <cell r="B17" t="str">
            <v>היטל ביוב</v>
          </cell>
          <cell r="C17">
            <v>-250730</v>
          </cell>
          <cell r="D17">
            <v>-161006.24</v>
          </cell>
        </row>
        <row r="18">
          <cell r="A18">
            <v>1129210290</v>
          </cell>
          <cell r="B18" t="str">
            <v>יתרות ביוב 2006</v>
          </cell>
          <cell r="C18">
            <v>-830</v>
          </cell>
          <cell r="D18">
            <v>-767</v>
          </cell>
        </row>
        <row r="19">
          <cell r="A19">
            <v>1129300290</v>
          </cell>
          <cell r="B19" t="str">
            <v>הכנסות שונות גבייה</v>
          </cell>
          <cell r="C19">
            <v>-56640</v>
          </cell>
          <cell r="D19">
            <v>-93562.240000000005</v>
          </cell>
        </row>
        <row r="20">
          <cell r="A20">
            <v>1129400290</v>
          </cell>
          <cell r="B20" t="str">
            <v>אגרת רשיונות ושונות</v>
          </cell>
          <cell r="C20">
            <v>-26660</v>
          </cell>
          <cell r="D20">
            <v>-79500</v>
          </cell>
        </row>
        <row r="21">
          <cell r="A21">
            <v>1129500290</v>
          </cell>
          <cell r="B21" t="str">
            <v>אגרת מים בגבעה</v>
          </cell>
          <cell r="C21">
            <v>-13330</v>
          </cell>
          <cell r="D21">
            <v>-16269.88</v>
          </cell>
        </row>
        <row r="22">
          <cell r="A22">
            <v>1129600290</v>
          </cell>
          <cell r="B22" t="str">
            <v>ביוב מרכזי בגבעה</v>
          </cell>
          <cell r="C22">
            <v>-129120</v>
          </cell>
          <cell r="D22">
            <v>-140765.07</v>
          </cell>
        </row>
        <row r="23">
          <cell r="A23">
            <v>1129610290</v>
          </cell>
          <cell r="B23" t="str">
            <v>מט"ש הכנסות</v>
          </cell>
          <cell r="C23">
            <v>0</v>
          </cell>
          <cell r="D23">
            <v>-112269</v>
          </cell>
        </row>
        <row r="24">
          <cell r="A24">
            <v>1129700290</v>
          </cell>
          <cell r="B24" t="str">
            <v>אגרת בניה בגבעה</v>
          </cell>
          <cell r="C24">
            <v>-113290</v>
          </cell>
          <cell r="D24">
            <v>-93272.93</v>
          </cell>
        </row>
        <row r="25">
          <cell r="A25">
            <v>1129800290</v>
          </cell>
          <cell r="B25" t="str">
            <v>אישורים חברת חשמל גבעה</v>
          </cell>
          <cell r="C25">
            <v>0</v>
          </cell>
          <cell r="D25">
            <v>-7360</v>
          </cell>
        </row>
        <row r="26">
          <cell r="A26">
            <v>1129900290</v>
          </cell>
          <cell r="B26" t="str">
            <v>השת" הכנת תוכנית מפורתת</v>
          </cell>
          <cell r="C26">
            <v>0</v>
          </cell>
          <cell r="D26">
            <v>0</v>
          </cell>
        </row>
        <row r="27">
          <cell r="A27">
            <v>1131690290</v>
          </cell>
          <cell r="B27" t="str">
            <v>היטל השבחה</v>
          </cell>
          <cell r="C27">
            <v>0</v>
          </cell>
          <cell r="D27">
            <v>0</v>
          </cell>
        </row>
        <row r="28">
          <cell r="A28">
            <v>1157000690</v>
          </cell>
          <cell r="B28" t="str">
            <v>החזר ביטוח לאומי תאונת עב</v>
          </cell>
          <cell r="C28">
            <v>-12500</v>
          </cell>
          <cell r="D28">
            <v>-30959</v>
          </cell>
        </row>
        <row r="29">
          <cell r="A29">
            <v>1157000740</v>
          </cell>
          <cell r="B29" t="str">
            <v>השת" מפעל הפיס</v>
          </cell>
          <cell r="C29">
            <v>0</v>
          </cell>
          <cell r="D29">
            <v>0</v>
          </cell>
        </row>
        <row r="30">
          <cell r="A30">
            <v>1160000290</v>
          </cell>
          <cell r="B30" t="str">
            <v>הכנסות מריבית</v>
          </cell>
          <cell r="C30">
            <v>0</v>
          </cell>
          <cell r="D30">
            <v>-0.48</v>
          </cell>
        </row>
        <row r="31">
          <cell r="A31">
            <v>1190000910</v>
          </cell>
          <cell r="B31" t="str">
            <v>מענק כללי</v>
          </cell>
          <cell r="C31">
            <v>-8323340</v>
          </cell>
          <cell r="D31">
            <v>-9743365.0899999999</v>
          </cell>
        </row>
        <row r="32">
          <cell r="A32">
            <v>1190000920</v>
          </cell>
          <cell r="B32" t="str">
            <v>מענקים אחרים ממשרד הפנים</v>
          </cell>
          <cell r="C32">
            <v>0</v>
          </cell>
          <cell r="D32">
            <v>-226425</v>
          </cell>
        </row>
        <row r="33">
          <cell r="A33">
            <v>1191000910</v>
          </cell>
          <cell r="B33" t="str">
            <v>משרד הפנים שונות</v>
          </cell>
          <cell r="C33">
            <v>-248230</v>
          </cell>
          <cell r="D33">
            <v>0</v>
          </cell>
        </row>
        <row r="34">
          <cell r="A34">
            <v>1196000910</v>
          </cell>
          <cell r="B34" t="str">
            <v>מענק מותנה</v>
          </cell>
          <cell r="C34">
            <v>-1406940</v>
          </cell>
          <cell r="D34">
            <v>-1689270.2</v>
          </cell>
        </row>
        <row r="35">
          <cell r="A35">
            <v>1197000910</v>
          </cell>
          <cell r="B35" t="str">
            <v>מ.הפנים אבטחה מאויים 6</v>
          </cell>
          <cell r="C35">
            <v>0</v>
          </cell>
          <cell r="D35">
            <v>0</v>
          </cell>
        </row>
        <row r="36">
          <cell r="A36">
            <v>1212300620</v>
          </cell>
          <cell r="B36" t="str">
            <v>מכירת עגלות אשפה</v>
          </cell>
          <cell r="C36">
            <v>0</v>
          </cell>
          <cell r="D36">
            <v>-1200</v>
          </cell>
        </row>
        <row r="37">
          <cell r="A37">
            <v>1213200920</v>
          </cell>
          <cell r="B37" t="str">
            <v>אגרת רשיונות עסקים</v>
          </cell>
          <cell r="C37">
            <v>0</v>
          </cell>
          <cell r="D37">
            <v>-331.83</v>
          </cell>
        </row>
        <row r="38">
          <cell r="A38">
            <v>1216900290</v>
          </cell>
          <cell r="B38" t="str">
            <v>היטל השבחה</v>
          </cell>
          <cell r="C38">
            <v>-416500</v>
          </cell>
          <cell r="D38">
            <v>-200000</v>
          </cell>
        </row>
        <row r="39">
          <cell r="A39">
            <v>1221000900</v>
          </cell>
          <cell r="B39" t="str">
            <v>משרד לבטחון פנים- שמירת בתי"ס</v>
          </cell>
          <cell r="C39">
            <v>0</v>
          </cell>
          <cell r="D39">
            <v>0</v>
          </cell>
        </row>
        <row r="40">
          <cell r="A40">
            <v>1221001900</v>
          </cell>
          <cell r="B40" t="str">
            <v>משרד לביטחון פנים עיר ללא אלימ</v>
          </cell>
          <cell r="C40">
            <v>-197420</v>
          </cell>
          <cell r="D40">
            <v>-324397</v>
          </cell>
        </row>
        <row r="41">
          <cell r="A41">
            <v>1242210290</v>
          </cell>
          <cell r="B41" t="str">
            <v>פריצת דרכים בגבעה</v>
          </cell>
          <cell r="C41">
            <v>-124950</v>
          </cell>
          <cell r="D41">
            <v>-221291.67</v>
          </cell>
        </row>
        <row r="42">
          <cell r="A42">
            <v>1244000790</v>
          </cell>
          <cell r="B42" t="str">
            <v>בטיחות בדרכים</v>
          </cell>
          <cell r="C42">
            <v>-29160</v>
          </cell>
          <cell r="D42">
            <v>-14800</v>
          </cell>
        </row>
        <row r="43">
          <cell r="A43">
            <v>1244100210</v>
          </cell>
          <cell r="B43" t="str">
            <v>כופר חניה</v>
          </cell>
          <cell r="C43">
            <v>-16660</v>
          </cell>
          <cell r="D43">
            <v>-13490</v>
          </cell>
        </row>
        <row r="44">
          <cell r="A44">
            <v>1249000540</v>
          </cell>
          <cell r="B44" t="str">
            <v>נכסים צבוריים</v>
          </cell>
          <cell r="C44">
            <v>0</v>
          </cell>
          <cell r="D44">
            <v>0</v>
          </cell>
        </row>
        <row r="45">
          <cell r="A45">
            <v>1296000960</v>
          </cell>
          <cell r="B45" t="str">
            <v>השת" משרד חקלאות</v>
          </cell>
          <cell r="C45">
            <v>0</v>
          </cell>
          <cell r="D45">
            <v>0</v>
          </cell>
        </row>
        <row r="46">
          <cell r="A46">
            <v>1312200920</v>
          </cell>
          <cell r="B46" t="str">
            <v>שכ"ל על יסודי</v>
          </cell>
          <cell r="C46">
            <v>-6791450</v>
          </cell>
          <cell r="D46">
            <v>-7031560.8899999997</v>
          </cell>
        </row>
        <row r="47">
          <cell r="A47">
            <v>1312210920</v>
          </cell>
          <cell r="B47" t="str">
            <v>מענק השתלמות</v>
          </cell>
          <cell r="C47">
            <v>0</v>
          </cell>
          <cell r="D47">
            <v>0</v>
          </cell>
        </row>
        <row r="48">
          <cell r="A48">
            <v>1312220920</v>
          </cell>
          <cell r="B48" t="str">
            <v>קרן השתלמות לשכ"ל</v>
          </cell>
          <cell r="C48">
            <v>-438990</v>
          </cell>
          <cell r="D48">
            <v>-530396.04</v>
          </cell>
        </row>
        <row r="49">
          <cell r="A49">
            <v>1312300290</v>
          </cell>
          <cell r="B49" t="str">
            <v>טרום חובה</v>
          </cell>
          <cell r="C49">
            <v>-74970</v>
          </cell>
          <cell r="D49">
            <v>-60800</v>
          </cell>
        </row>
        <row r="50">
          <cell r="A50">
            <v>1312310290</v>
          </cell>
          <cell r="B50" t="str">
            <v>השת" נסיעות אלפרוק</v>
          </cell>
          <cell r="C50">
            <v>0</v>
          </cell>
          <cell r="D50">
            <v>0</v>
          </cell>
        </row>
        <row r="51">
          <cell r="A51">
            <v>1313200290</v>
          </cell>
          <cell r="B51" t="str">
            <v>השת" בקנית ציוד ב"ס</v>
          </cell>
          <cell r="C51">
            <v>-9160</v>
          </cell>
          <cell r="D51">
            <v>-700</v>
          </cell>
        </row>
        <row r="52">
          <cell r="A52">
            <v>1313200740</v>
          </cell>
          <cell r="B52" t="str">
            <v>מפעל הפיס ריהוט</v>
          </cell>
          <cell r="C52">
            <v>0</v>
          </cell>
          <cell r="D52">
            <v>0</v>
          </cell>
        </row>
        <row r="53">
          <cell r="A53">
            <v>1313200920</v>
          </cell>
          <cell r="B53" t="str">
            <v>עוזרות לגננות</v>
          </cell>
          <cell r="C53">
            <v>-848830</v>
          </cell>
          <cell r="D53">
            <v>-761197.42</v>
          </cell>
        </row>
        <row r="54">
          <cell r="A54">
            <v>1313210920</v>
          </cell>
          <cell r="B54" t="str">
            <v>גננות עובדות מדינה</v>
          </cell>
          <cell r="C54">
            <v>0</v>
          </cell>
          <cell r="D54">
            <v>164342.71</v>
          </cell>
        </row>
        <row r="55">
          <cell r="A55">
            <v>1313220920</v>
          </cell>
          <cell r="B55" t="str">
            <v>שכר דירה</v>
          </cell>
          <cell r="C55">
            <v>-20830</v>
          </cell>
          <cell r="D55">
            <v>0</v>
          </cell>
        </row>
        <row r="56">
          <cell r="A56">
            <v>1313230920</v>
          </cell>
          <cell r="B56" t="str">
            <v>השת" ריהוט מ.חנוך</v>
          </cell>
          <cell r="C56">
            <v>0</v>
          </cell>
          <cell r="D56">
            <v>0</v>
          </cell>
        </row>
        <row r="57">
          <cell r="A57">
            <v>1313240920</v>
          </cell>
          <cell r="B57" t="str">
            <v>תכנית ניצנים - גנ"י</v>
          </cell>
          <cell r="C57">
            <v>0</v>
          </cell>
          <cell r="D57">
            <v>-909805</v>
          </cell>
        </row>
        <row r="58">
          <cell r="A58">
            <v>1313300920</v>
          </cell>
          <cell r="B58" t="str">
            <v>סייעת שניה בגנ"י</v>
          </cell>
          <cell r="C58">
            <v>-1336130</v>
          </cell>
          <cell r="D58">
            <v>-1200705.96</v>
          </cell>
        </row>
        <row r="59">
          <cell r="A59">
            <v>1313330920</v>
          </cell>
          <cell r="B59" t="str">
            <v>ניהול עצמי משופר א-ו</v>
          </cell>
          <cell r="C59">
            <v>0</v>
          </cell>
          <cell r="D59">
            <v>-1083874.8700000001</v>
          </cell>
        </row>
        <row r="60">
          <cell r="A60">
            <v>1313340920</v>
          </cell>
          <cell r="B60" t="str">
            <v>עובד סיוע משופר א-ח</v>
          </cell>
          <cell r="C60">
            <v>-830</v>
          </cell>
          <cell r="D60">
            <v>-273910.03999999998</v>
          </cell>
        </row>
        <row r="61">
          <cell r="A61">
            <v>1313350920</v>
          </cell>
          <cell r="B61" t="str">
            <v>תוספת דפרנציאלית נ. עצמי</v>
          </cell>
          <cell r="C61">
            <v>0</v>
          </cell>
          <cell r="D61">
            <v>-363771.1</v>
          </cell>
        </row>
        <row r="62">
          <cell r="A62">
            <v>1313360920</v>
          </cell>
          <cell r="B62" t="str">
            <v>גמול מנהליות נ.עצמי</v>
          </cell>
          <cell r="C62">
            <v>-830</v>
          </cell>
          <cell r="D62">
            <v>-7444.02</v>
          </cell>
        </row>
        <row r="63">
          <cell r="A63">
            <v>1313400920</v>
          </cell>
          <cell r="B63" t="str">
            <v>השת" מ.חנוך פרויקטים</v>
          </cell>
          <cell r="C63">
            <v>0</v>
          </cell>
          <cell r="D63">
            <v>0</v>
          </cell>
        </row>
        <row r="64">
          <cell r="A64">
            <v>1313410290</v>
          </cell>
          <cell r="B64" t="str">
            <v>השתת" פסיכומטרי</v>
          </cell>
          <cell r="C64">
            <v>0</v>
          </cell>
          <cell r="D64">
            <v>-3900</v>
          </cell>
        </row>
        <row r="65">
          <cell r="A65">
            <v>1313450920</v>
          </cell>
          <cell r="B65" t="str">
            <v>הכנסות שונות מס חינוך</v>
          </cell>
          <cell r="C65">
            <v>0</v>
          </cell>
          <cell r="D65">
            <v>-146545.42000000001</v>
          </cell>
        </row>
        <row r="66">
          <cell r="A66">
            <v>1313451920</v>
          </cell>
          <cell r="B66" t="str">
            <v>הנגשה אקוסטית</v>
          </cell>
          <cell r="C66">
            <v>0</v>
          </cell>
          <cell r="D66">
            <v>0</v>
          </cell>
        </row>
        <row r="67">
          <cell r="A67">
            <v>1313452920</v>
          </cell>
          <cell r="B67" t="str">
            <v>הנגשה פרטנית לתלמידים</v>
          </cell>
          <cell r="C67">
            <v>0</v>
          </cell>
          <cell r="D67">
            <v>0</v>
          </cell>
        </row>
        <row r="68">
          <cell r="A68">
            <v>1313453920</v>
          </cell>
          <cell r="B68" t="str">
            <v>התנסות מדעית טכנולוגית</v>
          </cell>
          <cell r="C68">
            <v>0</v>
          </cell>
          <cell r="D68">
            <v>0</v>
          </cell>
        </row>
        <row r="69">
          <cell r="A69">
            <v>1313600920</v>
          </cell>
          <cell r="B69" t="str">
            <v>תוכנית דוברת</v>
          </cell>
          <cell r="C69">
            <v>0</v>
          </cell>
          <cell r="D69">
            <v>0</v>
          </cell>
        </row>
        <row r="70">
          <cell r="A70">
            <v>1313610920</v>
          </cell>
          <cell r="B70" t="str">
            <v>חוק שילוב סייעות</v>
          </cell>
          <cell r="C70">
            <v>-244900</v>
          </cell>
          <cell r="D70">
            <v>-295868.86</v>
          </cell>
        </row>
        <row r="71">
          <cell r="A71">
            <v>1313700920</v>
          </cell>
          <cell r="B71" t="str">
            <v>הכנסות מ.חינוך פינות עבודה</v>
          </cell>
          <cell r="C71">
            <v>0</v>
          </cell>
          <cell r="D71">
            <v>0</v>
          </cell>
        </row>
        <row r="72">
          <cell r="A72">
            <v>1313800290</v>
          </cell>
          <cell r="B72" t="str">
            <v>ביטוח תלמידים</v>
          </cell>
          <cell r="C72">
            <v>-83300</v>
          </cell>
          <cell r="D72">
            <v>-32400</v>
          </cell>
        </row>
        <row r="73">
          <cell r="A73">
            <v>1314000920</v>
          </cell>
          <cell r="B73" t="str">
            <v>שירות פסיכולוגי</v>
          </cell>
          <cell r="C73">
            <v>-537290</v>
          </cell>
          <cell r="D73">
            <v>-547051.29</v>
          </cell>
        </row>
        <row r="74">
          <cell r="A74">
            <v>1315100920</v>
          </cell>
          <cell r="B74" t="str">
            <v>סייעות טיפוליות</v>
          </cell>
          <cell r="C74">
            <v>-364850</v>
          </cell>
          <cell r="D74">
            <v>-537504.44999999995</v>
          </cell>
        </row>
        <row r="75">
          <cell r="A75">
            <v>1315110920</v>
          </cell>
          <cell r="B75" t="str">
            <v>הסעות חינוך</v>
          </cell>
          <cell r="C75">
            <v>-906300</v>
          </cell>
          <cell r="D75">
            <v>-1259810.47</v>
          </cell>
        </row>
        <row r="76">
          <cell r="A76">
            <v>1315111920</v>
          </cell>
          <cell r="B76" t="str">
            <v>סייעות ציל"ה</v>
          </cell>
          <cell r="C76">
            <v>0</v>
          </cell>
          <cell r="D76">
            <v>0</v>
          </cell>
        </row>
        <row r="77">
          <cell r="A77">
            <v>1315120420</v>
          </cell>
          <cell r="B77" t="str">
            <v>החזר נסיעות ח.מיוחד</v>
          </cell>
          <cell r="C77">
            <v>-11660</v>
          </cell>
          <cell r="D77">
            <v>0</v>
          </cell>
        </row>
        <row r="78">
          <cell r="A78">
            <v>1315120920</v>
          </cell>
          <cell r="B78" t="str">
            <v>דמי שתיה</v>
          </cell>
          <cell r="C78">
            <v>-5830</v>
          </cell>
          <cell r="D78">
            <v>-5126.6400000000003</v>
          </cell>
        </row>
        <row r="79">
          <cell r="A79">
            <v>1315130920</v>
          </cell>
          <cell r="B79" t="str">
            <v>רכב מנהלים</v>
          </cell>
          <cell r="C79">
            <v>-15830</v>
          </cell>
          <cell r="D79">
            <v>-16701.599999999999</v>
          </cell>
        </row>
        <row r="80">
          <cell r="A80">
            <v>1315140920</v>
          </cell>
          <cell r="B80" t="str">
            <v>רכב סגנים</v>
          </cell>
          <cell r="C80">
            <v>-2500</v>
          </cell>
          <cell r="D80">
            <v>-3256.8</v>
          </cell>
        </row>
        <row r="81">
          <cell r="A81">
            <v>1315150920</v>
          </cell>
          <cell r="B81" t="str">
            <v>הוצ נלוות ח.מיוחד</v>
          </cell>
          <cell r="C81">
            <v>-404010</v>
          </cell>
          <cell r="D81">
            <v>-196881.88</v>
          </cell>
        </row>
        <row r="82">
          <cell r="A82">
            <v>1315160920</v>
          </cell>
          <cell r="B82" t="str">
            <v>חיוב אגרת תלמיד חוץ</v>
          </cell>
          <cell r="C82">
            <v>0</v>
          </cell>
          <cell r="D82">
            <v>0</v>
          </cell>
        </row>
        <row r="83">
          <cell r="A83">
            <v>1315170920</v>
          </cell>
          <cell r="B83" t="str">
            <v>שעות פרטניות -עוז לתמורה</v>
          </cell>
          <cell r="C83">
            <v>-2221610</v>
          </cell>
          <cell r="D83">
            <v>-2604420.58</v>
          </cell>
        </row>
        <row r="84">
          <cell r="A84">
            <v>1315171920</v>
          </cell>
          <cell r="B84" t="str">
            <v>שעות תומכות - עוז לתמורה</v>
          </cell>
          <cell r="C84">
            <v>0</v>
          </cell>
          <cell r="D84">
            <v>-1399187.4</v>
          </cell>
        </row>
        <row r="85">
          <cell r="A85">
            <v>1315180740</v>
          </cell>
          <cell r="B85" t="str">
            <v>השת" בחשמל בי"ס עתיד</v>
          </cell>
          <cell r="C85">
            <v>-58310</v>
          </cell>
          <cell r="D85">
            <v>0</v>
          </cell>
        </row>
        <row r="86">
          <cell r="A86">
            <v>1315200920</v>
          </cell>
          <cell r="B86" t="str">
            <v>מגמת אומניות העיצוב</v>
          </cell>
          <cell r="C86">
            <v>0</v>
          </cell>
          <cell r="D86">
            <v>0</v>
          </cell>
        </row>
        <row r="87">
          <cell r="A87">
            <v>1317100920</v>
          </cell>
          <cell r="B87" t="str">
            <v>קבט"ים</v>
          </cell>
          <cell r="C87">
            <v>-41650</v>
          </cell>
          <cell r="D87">
            <v>-408013.84</v>
          </cell>
        </row>
        <row r="88">
          <cell r="A88">
            <v>1317200920</v>
          </cell>
          <cell r="B88" t="str">
            <v>השת" בציוד בטיחות</v>
          </cell>
          <cell r="C88">
            <v>0</v>
          </cell>
          <cell r="D88">
            <v>0</v>
          </cell>
        </row>
        <row r="89">
          <cell r="A89">
            <v>1317300920</v>
          </cell>
          <cell r="B89" t="str">
            <v>מרכיבי בטחון מסודות חינוך</v>
          </cell>
          <cell r="C89">
            <v>0</v>
          </cell>
          <cell r="D89">
            <v>0</v>
          </cell>
        </row>
        <row r="90">
          <cell r="A90">
            <v>1317400920</v>
          </cell>
          <cell r="B90" t="str">
            <v>סייעות רפאיות</v>
          </cell>
          <cell r="C90">
            <v>-94130</v>
          </cell>
          <cell r="D90">
            <v>-29564.38</v>
          </cell>
        </row>
        <row r="91">
          <cell r="A91">
            <v>1317500220</v>
          </cell>
          <cell r="B91" t="str">
            <v>ביטוח ילדים</v>
          </cell>
          <cell r="C91">
            <v>0</v>
          </cell>
          <cell r="D91">
            <v>0</v>
          </cell>
        </row>
        <row r="92">
          <cell r="A92">
            <v>1317500920</v>
          </cell>
          <cell r="B92" t="str">
            <v>סל תלמיד-חט"ב_+שכפול</v>
          </cell>
          <cell r="C92">
            <v>-1341130</v>
          </cell>
          <cell r="D92">
            <v>-1383033.06</v>
          </cell>
        </row>
        <row r="93">
          <cell r="A93">
            <v>1317510920</v>
          </cell>
          <cell r="B93" t="str">
            <v>תשלומי הורים חומרים</v>
          </cell>
          <cell r="C93">
            <v>-208250</v>
          </cell>
          <cell r="D93">
            <v>-192273.34</v>
          </cell>
        </row>
        <row r="94">
          <cell r="A94">
            <v>1317520920</v>
          </cell>
          <cell r="B94" t="str">
            <v>חברה הוגנת</v>
          </cell>
          <cell r="C94">
            <v>0</v>
          </cell>
          <cell r="D94">
            <v>0</v>
          </cell>
        </row>
        <row r="95">
          <cell r="A95">
            <v>1317530920</v>
          </cell>
          <cell r="B95" t="str">
            <v>הבראה וביגוד</v>
          </cell>
          <cell r="C95">
            <v>-485640</v>
          </cell>
          <cell r="D95">
            <v>-475235.83</v>
          </cell>
        </row>
        <row r="96">
          <cell r="A96">
            <v>1317561920</v>
          </cell>
          <cell r="B96" t="str">
            <v>גמול בגרות אחוזי</v>
          </cell>
          <cell r="C96">
            <v>-150770</v>
          </cell>
          <cell r="D96">
            <v>-145635.66</v>
          </cell>
        </row>
        <row r="97">
          <cell r="A97">
            <v>1317565920</v>
          </cell>
          <cell r="B97" t="str">
            <v>מתמטיקה תחילה</v>
          </cell>
          <cell r="C97">
            <v>-24990</v>
          </cell>
          <cell r="D97">
            <v>-55011.77</v>
          </cell>
        </row>
        <row r="98">
          <cell r="A98">
            <v>1317566920</v>
          </cell>
          <cell r="B98" t="str">
            <v>תוכנית סולמות אנגלית</v>
          </cell>
          <cell r="C98">
            <v>0</v>
          </cell>
          <cell r="D98">
            <v>-26385.279999999999</v>
          </cell>
        </row>
        <row r="99">
          <cell r="A99">
            <v>1317567920</v>
          </cell>
          <cell r="B99" t="str">
            <v>מנהל תחום תרבותי</v>
          </cell>
          <cell r="C99">
            <v>-6660</v>
          </cell>
          <cell r="D99">
            <v>-51389.99</v>
          </cell>
        </row>
        <row r="100">
          <cell r="A100">
            <v>1317568920</v>
          </cell>
          <cell r="B100" t="str">
            <v>משרות דרגות קידום</v>
          </cell>
          <cell r="C100">
            <v>-830</v>
          </cell>
          <cell r="D100">
            <v>-2199.37</v>
          </cell>
        </row>
        <row r="101">
          <cell r="A101">
            <v>1317569920</v>
          </cell>
          <cell r="B101" t="str">
            <v>ת.תקשוב-קיזוז רשויות</v>
          </cell>
          <cell r="C101">
            <v>0</v>
          </cell>
          <cell r="D101">
            <v>-159180.72</v>
          </cell>
        </row>
        <row r="102">
          <cell r="A102">
            <v>1317600920</v>
          </cell>
          <cell r="B102" t="str">
            <v>גמול טיולים</v>
          </cell>
          <cell r="C102">
            <v>-126620</v>
          </cell>
          <cell r="D102">
            <v>-146788.28</v>
          </cell>
        </row>
        <row r="103">
          <cell r="A103">
            <v>1317610920</v>
          </cell>
          <cell r="B103" t="str">
            <v>השתתפות בטיולים</v>
          </cell>
          <cell r="C103">
            <v>0</v>
          </cell>
          <cell r="D103">
            <v>0</v>
          </cell>
        </row>
        <row r="104">
          <cell r="A104">
            <v>1317620920</v>
          </cell>
          <cell r="B104" t="str">
            <v>ציוד ומכשירים חנ"ג</v>
          </cell>
          <cell r="C104">
            <v>0</v>
          </cell>
          <cell r="D104">
            <v>1000</v>
          </cell>
        </row>
        <row r="105">
          <cell r="A105">
            <v>1317700920</v>
          </cell>
          <cell r="B105" t="str">
            <v>קבס"ים</v>
          </cell>
          <cell r="C105">
            <v>-169100</v>
          </cell>
          <cell r="D105">
            <v>-123851.25</v>
          </cell>
        </row>
        <row r="106">
          <cell r="A106">
            <v>1317710920</v>
          </cell>
          <cell r="B106" t="str">
            <v>תוכנית למניעת נשירה</v>
          </cell>
          <cell r="C106">
            <v>-45820</v>
          </cell>
          <cell r="D106">
            <v>-3943.02</v>
          </cell>
        </row>
        <row r="107">
          <cell r="A107">
            <v>1317720920</v>
          </cell>
          <cell r="B107" t="str">
            <v>מילוי מקום מוסודת</v>
          </cell>
          <cell r="C107">
            <v>-23320</v>
          </cell>
          <cell r="D107">
            <v>-25645.46</v>
          </cell>
        </row>
        <row r="108">
          <cell r="A108">
            <v>1317730920</v>
          </cell>
          <cell r="B108" t="str">
            <v>שעות תפקיד רכז מקצוע</v>
          </cell>
          <cell r="C108">
            <v>-49980</v>
          </cell>
          <cell r="D108">
            <v>-64134.87</v>
          </cell>
        </row>
        <row r="109">
          <cell r="A109">
            <v>1317740920</v>
          </cell>
          <cell r="B109" t="str">
            <v>אוריינות מדעית</v>
          </cell>
          <cell r="C109">
            <v>-7500</v>
          </cell>
          <cell r="D109">
            <v>-6272.92</v>
          </cell>
        </row>
        <row r="110">
          <cell r="A110">
            <v>1317750920</v>
          </cell>
          <cell r="B110" t="str">
            <v>עתודה מדעית טכנולוגית</v>
          </cell>
          <cell r="C110">
            <v>-47480</v>
          </cell>
          <cell r="D110">
            <v>-108802.81</v>
          </cell>
        </row>
        <row r="111">
          <cell r="A111">
            <v>1317800920</v>
          </cell>
          <cell r="B111" t="str">
            <v>מענק יובל</v>
          </cell>
          <cell r="C111">
            <v>-49980</v>
          </cell>
          <cell r="D111">
            <v>-69540.72</v>
          </cell>
        </row>
        <row r="112">
          <cell r="A112">
            <v>1317810920</v>
          </cell>
          <cell r="B112" t="str">
            <v>שיפור סביבה תיכון</v>
          </cell>
          <cell r="C112">
            <v>0</v>
          </cell>
          <cell r="D112">
            <v>0</v>
          </cell>
        </row>
        <row r="113">
          <cell r="A113">
            <v>1317820920</v>
          </cell>
          <cell r="B113" t="str">
            <v>מזכירים</v>
          </cell>
          <cell r="C113">
            <v>-41650</v>
          </cell>
          <cell r="D113">
            <v>-74300.78</v>
          </cell>
        </row>
        <row r="114">
          <cell r="A114">
            <v>1317830920</v>
          </cell>
          <cell r="B114" t="str">
            <v>שרתים</v>
          </cell>
          <cell r="C114">
            <v>-133280</v>
          </cell>
          <cell r="D114">
            <v>-200885.38</v>
          </cell>
        </row>
        <row r="115">
          <cell r="A115">
            <v>1317831920</v>
          </cell>
          <cell r="B115" t="str">
            <v>פדיון ימי חופשה שרתים</v>
          </cell>
          <cell r="C115">
            <v>0</v>
          </cell>
          <cell r="D115">
            <v>0</v>
          </cell>
        </row>
        <row r="116">
          <cell r="A116">
            <v>1317840920</v>
          </cell>
          <cell r="B116" t="str">
            <v>שכ"ל גני ילדים</v>
          </cell>
          <cell r="C116">
            <v>-2898840</v>
          </cell>
          <cell r="D116">
            <v>-3120034.8</v>
          </cell>
        </row>
        <row r="117">
          <cell r="A117">
            <v>1317841920</v>
          </cell>
          <cell r="B117" t="str">
            <v>ניהול עצמי משופר</v>
          </cell>
          <cell r="C117">
            <v>-1052910</v>
          </cell>
          <cell r="D117">
            <v>0</v>
          </cell>
        </row>
        <row r="118">
          <cell r="A118">
            <v>1317842920</v>
          </cell>
          <cell r="B118" t="str">
            <v>הצטידות גני ילדים</v>
          </cell>
          <cell r="C118">
            <v>0</v>
          </cell>
          <cell r="D118">
            <v>0</v>
          </cell>
        </row>
        <row r="119">
          <cell r="A119">
            <v>1317850920</v>
          </cell>
          <cell r="B119" t="str">
            <v>אולפנים</v>
          </cell>
          <cell r="C119">
            <v>-11660</v>
          </cell>
          <cell r="D119">
            <v>-6585.68</v>
          </cell>
        </row>
        <row r="120">
          <cell r="A120">
            <v>1317851920</v>
          </cell>
          <cell r="B120" t="str">
            <v>עובדי סיוע - ניהול עצמי</v>
          </cell>
          <cell r="C120">
            <v>0</v>
          </cell>
          <cell r="D120">
            <v>0</v>
          </cell>
        </row>
        <row r="121">
          <cell r="A121">
            <v>1317860920</v>
          </cell>
          <cell r="B121" t="str">
            <v>מעדונית ברשיות</v>
          </cell>
          <cell r="C121">
            <v>-275720</v>
          </cell>
          <cell r="D121">
            <v>-314110.99</v>
          </cell>
        </row>
        <row r="122">
          <cell r="A122">
            <v>1317861920</v>
          </cell>
          <cell r="B122" t="str">
            <v>תוספת דפרנצילית- ניהול עצמי</v>
          </cell>
          <cell r="C122">
            <v>0</v>
          </cell>
          <cell r="D122">
            <v>90</v>
          </cell>
        </row>
        <row r="123">
          <cell r="A123">
            <v>1317870690</v>
          </cell>
          <cell r="B123" t="str">
            <v>ביטוח לאומי הקצבה</v>
          </cell>
          <cell r="C123">
            <v>0</v>
          </cell>
          <cell r="D123">
            <v>0</v>
          </cell>
        </row>
        <row r="124">
          <cell r="A124">
            <v>1317870920</v>
          </cell>
          <cell r="B124" t="str">
            <v>מחשבים לבי"ס</v>
          </cell>
          <cell r="C124">
            <v>0</v>
          </cell>
          <cell r="D124">
            <v>0</v>
          </cell>
        </row>
        <row r="125">
          <cell r="A125">
            <v>1317875920</v>
          </cell>
          <cell r="B125" t="str">
            <v>חותם "רשיונות למחשבים"</v>
          </cell>
          <cell r="C125">
            <v>0</v>
          </cell>
          <cell r="D125">
            <v>13576.53</v>
          </cell>
        </row>
        <row r="126">
          <cell r="A126">
            <v>1317880920</v>
          </cell>
          <cell r="B126" t="str">
            <v>הצטיידות</v>
          </cell>
          <cell r="C126">
            <v>0</v>
          </cell>
          <cell r="D126">
            <v>0</v>
          </cell>
        </row>
        <row r="127">
          <cell r="A127">
            <v>1317890920</v>
          </cell>
          <cell r="B127" t="str">
            <v>יוזמות מנהל מחוז</v>
          </cell>
          <cell r="C127">
            <v>0</v>
          </cell>
          <cell r="D127">
            <v>0</v>
          </cell>
        </row>
        <row r="128">
          <cell r="A128">
            <v>1317891920</v>
          </cell>
          <cell r="B128" t="str">
            <v>תוכנית אומץ מנ"ע ונחשון</v>
          </cell>
          <cell r="C128">
            <v>-83300</v>
          </cell>
          <cell r="D128">
            <v>-146666.46</v>
          </cell>
        </row>
        <row r="129">
          <cell r="A129">
            <v>1317893920</v>
          </cell>
          <cell r="B129" t="str">
            <v>השלמת בגרות לי"ג</v>
          </cell>
          <cell r="C129">
            <v>0</v>
          </cell>
          <cell r="D129">
            <v>0</v>
          </cell>
        </row>
        <row r="130">
          <cell r="A130">
            <v>1317894920</v>
          </cell>
          <cell r="B130" t="str">
            <v>שרותי היקף בתי נוער</v>
          </cell>
          <cell r="C130">
            <v>0</v>
          </cell>
          <cell r="D130">
            <v>0</v>
          </cell>
        </row>
        <row r="131">
          <cell r="A131">
            <v>1317895920</v>
          </cell>
          <cell r="B131" t="str">
            <v>מוביל בי"ס מניעת סמים</v>
          </cell>
          <cell r="C131">
            <v>-5000</v>
          </cell>
          <cell r="D131">
            <v>-3873.2</v>
          </cell>
        </row>
        <row r="132">
          <cell r="A132">
            <v>1317896920</v>
          </cell>
          <cell r="B132" t="str">
            <v>מוחזקות חדשה בי"ס תיכון</v>
          </cell>
          <cell r="C132">
            <v>-497300</v>
          </cell>
          <cell r="D132">
            <v>-465798.16</v>
          </cell>
        </row>
        <row r="133">
          <cell r="A133">
            <v>1317897920</v>
          </cell>
          <cell r="B133" t="str">
            <v>מסלול משופר חרשים עוורים</v>
          </cell>
          <cell r="C133">
            <v>-15830</v>
          </cell>
          <cell r="D133">
            <v>-27220.32</v>
          </cell>
        </row>
        <row r="134">
          <cell r="A134">
            <v>1317898920</v>
          </cell>
          <cell r="B134" t="str">
            <v>מטה שנהר וקרמניצר</v>
          </cell>
          <cell r="C134">
            <v>-31650</v>
          </cell>
          <cell r="D134">
            <v>-11949.69</v>
          </cell>
        </row>
        <row r="135">
          <cell r="A135">
            <v>1317900920</v>
          </cell>
          <cell r="B135" t="str">
            <v>שרותים אחרים מ.חנוך</v>
          </cell>
          <cell r="C135">
            <v>0</v>
          </cell>
          <cell r="D135">
            <v>0</v>
          </cell>
        </row>
        <row r="136">
          <cell r="A136">
            <v>1318000920</v>
          </cell>
          <cell r="B136" t="str">
            <v>תהיל"ה</v>
          </cell>
          <cell r="C136">
            <v>-5000</v>
          </cell>
          <cell r="D136">
            <v>0</v>
          </cell>
        </row>
        <row r="137">
          <cell r="A137">
            <v>1318100740</v>
          </cell>
          <cell r="B137" t="str">
            <v>מ.הפיס -ספריה צבורית</v>
          </cell>
          <cell r="C137">
            <v>0</v>
          </cell>
          <cell r="D137">
            <v>0</v>
          </cell>
        </row>
        <row r="138">
          <cell r="A138">
            <v>1318100920</v>
          </cell>
          <cell r="B138" t="str">
            <v>ספריה ציבורית</v>
          </cell>
          <cell r="C138">
            <v>0</v>
          </cell>
          <cell r="D138">
            <v>0</v>
          </cell>
        </row>
        <row r="139">
          <cell r="A139">
            <v>1319000920</v>
          </cell>
          <cell r="B139" t="str">
            <v>מסגרת קיץ פר תלמיד רגיל</v>
          </cell>
          <cell r="C139">
            <v>-462320</v>
          </cell>
          <cell r="D139">
            <v>-529135.63</v>
          </cell>
        </row>
        <row r="140">
          <cell r="A140">
            <v>1319100920</v>
          </cell>
          <cell r="B140" t="str">
            <v>מסגרת קיץ פר מוסד</v>
          </cell>
          <cell r="C140">
            <v>-43320</v>
          </cell>
          <cell r="D140">
            <v>-47395</v>
          </cell>
        </row>
        <row r="141">
          <cell r="A141">
            <v>1319200920</v>
          </cell>
          <cell r="B141" t="str">
            <v>הסעות מסגרות קיץ פר מסלול</v>
          </cell>
          <cell r="C141">
            <v>0</v>
          </cell>
          <cell r="D141">
            <v>0</v>
          </cell>
        </row>
        <row r="142">
          <cell r="A142">
            <v>1323000220</v>
          </cell>
          <cell r="B142" t="str">
            <v>טרום חובה</v>
          </cell>
          <cell r="C142">
            <v>0</v>
          </cell>
          <cell r="D142">
            <v>0</v>
          </cell>
        </row>
        <row r="143">
          <cell r="A143">
            <v>1323000920</v>
          </cell>
          <cell r="B143" t="str">
            <v>משרד התרבות - קידום נוער</v>
          </cell>
          <cell r="C143">
            <v>-65810</v>
          </cell>
          <cell r="D143">
            <v>0</v>
          </cell>
        </row>
        <row r="144">
          <cell r="A144">
            <v>1323100920</v>
          </cell>
          <cell r="B144" t="str">
            <v>משרד התרבות יחידת נוער</v>
          </cell>
          <cell r="C144">
            <v>-33320</v>
          </cell>
          <cell r="D144">
            <v>-57208</v>
          </cell>
        </row>
        <row r="145">
          <cell r="A145">
            <v>1324000420</v>
          </cell>
          <cell r="B145" t="str">
            <v>השתתפות הורים</v>
          </cell>
          <cell r="C145">
            <v>-830</v>
          </cell>
          <cell r="D145">
            <v>-750</v>
          </cell>
        </row>
        <row r="146">
          <cell r="A146">
            <v>1324000720</v>
          </cell>
          <cell r="B146" t="str">
            <v>מ.תחבורה תרבות</v>
          </cell>
          <cell r="C146">
            <v>-46650</v>
          </cell>
          <cell r="D146">
            <v>0</v>
          </cell>
        </row>
        <row r="147">
          <cell r="A147">
            <v>1324000920</v>
          </cell>
          <cell r="B147" t="str">
            <v>מ.חנוך -מעדנית נוער</v>
          </cell>
          <cell r="C147">
            <v>-100790</v>
          </cell>
          <cell r="D147">
            <v>-37676.720000000001</v>
          </cell>
        </row>
        <row r="148">
          <cell r="A148">
            <v>1324100410</v>
          </cell>
          <cell r="B148" t="str">
            <v>חינוך מבוגרים השת"</v>
          </cell>
          <cell r="C148">
            <v>0</v>
          </cell>
          <cell r="D148">
            <v>-140</v>
          </cell>
        </row>
        <row r="149">
          <cell r="A149">
            <v>1324100920</v>
          </cell>
          <cell r="B149" t="str">
            <v>חנוך מבוגרים השכלה</v>
          </cell>
          <cell r="C149">
            <v>0</v>
          </cell>
          <cell r="D149">
            <v>0</v>
          </cell>
        </row>
        <row r="150">
          <cell r="A150">
            <v>1328000810</v>
          </cell>
          <cell r="B150" t="str">
            <v>בית נוער הפעלה</v>
          </cell>
          <cell r="C150">
            <v>0</v>
          </cell>
          <cell r="D150">
            <v>0</v>
          </cell>
        </row>
        <row r="151">
          <cell r="A151">
            <v>1328000920</v>
          </cell>
          <cell r="B151" t="str">
            <v>מ.חינוך נוער</v>
          </cell>
          <cell r="C151">
            <v>-74140</v>
          </cell>
          <cell r="D151">
            <v>0</v>
          </cell>
        </row>
        <row r="152">
          <cell r="A152">
            <v>1329000420</v>
          </cell>
          <cell r="B152" t="str">
            <v>פעילות ספורט</v>
          </cell>
          <cell r="C152">
            <v>-11660</v>
          </cell>
          <cell r="D152">
            <v>-15820</v>
          </cell>
        </row>
        <row r="153">
          <cell r="A153">
            <v>1329000920</v>
          </cell>
          <cell r="B153" t="str">
            <v>פעולות ספורט מ.חינוך</v>
          </cell>
          <cell r="C153">
            <v>0</v>
          </cell>
          <cell r="D153">
            <v>-30000</v>
          </cell>
        </row>
        <row r="154">
          <cell r="A154">
            <v>1329900710</v>
          </cell>
          <cell r="B154" t="str">
            <v>אולם ספורט מפעל הפיס</v>
          </cell>
          <cell r="C154">
            <v>0</v>
          </cell>
          <cell r="D154">
            <v>0</v>
          </cell>
        </row>
        <row r="155">
          <cell r="A155">
            <v>1329910710</v>
          </cell>
          <cell r="B155" t="str">
            <v>תרבות וספורט</v>
          </cell>
          <cell r="C155">
            <v>-70810</v>
          </cell>
          <cell r="D155">
            <v>0</v>
          </cell>
        </row>
        <row r="156">
          <cell r="A156">
            <v>1332300940</v>
          </cell>
          <cell r="B156" t="str">
            <v>מ.הבריאות</v>
          </cell>
          <cell r="C156">
            <v>-84130</v>
          </cell>
          <cell r="D156">
            <v>-48797.5</v>
          </cell>
        </row>
        <row r="157">
          <cell r="A157">
            <v>1341000930</v>
          </cell>
          <cell r="B157" t="str">
            <v>שכר עובדי המחלק.לש-ח</v>
          </cell>
          <cell r="C157">
            <v>-803010</v>
          </cell>
          <cell r="D157">
            <v>-797683</v>
          </cell>
        </row>
        <row r="158">
          <cell r="A158">
            <v>1341100930</v>
          </cell>
          <cell r="B158" t="str">
            <v>הוצ ארגוניות רשויות</v>
          </cell>
          <cell r="C158">
            <v>-3330</v>
          </cell>
          <cell r="D158">
            <v>0</v>
          </cell>
        </row>
        <row r="159">
          <cell r="A159">
            <v>1341200930</v>
          </cell>
          <cell r="B159" t="str">
            <v>מחשוב מח רווחה</v>
          </cell>
          <cell r="C159">
            <v>0</v>
          </cell>
          <cell r="D159">
            <v>0</v>
          </cell>
        </row>
        <row r="160">
          <cell r="A160">
            <v>1342200930</v>
          </cell>
          <cell r="B160" t="str">
            <v>משפחות במצוקה במקהלה</v>
          </cell>
          <cell r="C160">
            <v>-65810</v>
          </cell>
          <cell r="D160">
            <v>-139402</v>
          </cell>
        </row>
        <row r="161">
          <cell r="A161">
            <v>1342210220</v>
          </cell>
          <cell r="B161" t="str">
            <v>השת" נשים בקיטנה</v>
          </cell>
          <cell r="C161">
            <v>0</v>
          </cell>
          <cell r="D161">
            <v>0</v>
          </cell>
        </row>
        <row r="162">
          <cell r="A162">
            <v>1342210930</v>
          </cell>
          <cell r="B162" t="str">
            <v>קיטנות לאמהות</v>
          </cell>
          <cell r="C162">
            <v>0</v>
          </cell>
          <cell r="D162">
            <v>0</v>
          </cell>
        </row>
        <row r="163">
          <cell r="A163">
            <v>1342220930</v>
          </cell>
          <cell r="B163" t="str">
            <v>סיוע למשפחות עם ילדים</v>
          </cell>
          <cell r="C163">
            <v>-65810</v>
          </cell>
          <cell r="D163">
            <v>-170740</v>
          </cell>
        </row>
        <row r="164">
          <cell r="A164">
            <v>1342221930</v>
          </cell>
          <cell r="B164" t="str">
            <v>בית חם לנערות</v>
          </cell>
          <cell r="C164">
            <v>-158270</v>
          </cell>
          <cell r="D164">
            <v>-183794</v>
          </cell>
        </row>
        <row r="165">
          <cell r="A165">
            <v>1342222930</v>
          </cell>
          <cell r="B165" t="str">
            <v>צרכי משרד רווחה</v>
          </cell>
          <cell r="C165">
            <v>0</v>
          </cell>
          <cell r="D165">
            <v>0</v>
          </cell>
        </row>
        <row r="166">
          <cell r="A166">
            <v>1342230930</v>
          </cell>
          <cell r="B166" t="str">
            <v>תוכנית עם פנים</v>
          </cell>
          <cell r="C166">
            <v>-119950</v>
          </cell>
          <cell r="D166">
            <v>0</v>
          </cell>
        </row>
        <row r="167">
          <cell r="A167">
            <v>1342300930</v>
          </cell>
          <cell r="B167" t="str">
            <v>תוכנית עם הפנים לקהילה</v>
          </cell>
          <cell r="C167">
            <v>-161600</v>
          </cell>
          <cell r="D167">
            <v>-152231</v>
          </cell>
        </row>
        <row r="168">
          <cell r="A168">
            <v>1342500930</v>
          </cell>
          <cell r="B168" t="str">
            <v>סמך מקצועי</v>
          </cell>
          <cell r="C168">
            <v>-22490</v>
          </cell>
          <cell r="D168">
            <v>-16820</v>
          </cell>
        </row>
        <row r="169">
          <cell r="A169">
            <v>1342600930</v>
          </cell>
          <cell r="B169" t="str">
            <v>תמ"ת  משפחתון</v>
          </cell>
          <cell r="C169">
            <v>-1110390</v>
          </cell>
          <cell r="D169">
            <v>-216894</v>
          </cell>
        </row>
        <row r="170">
          <cell r="A170">
            <v>1342650930</v>
          </cell>
          <cell r="B170" t="str">
            <v>פרוייקט וינגייט</v>
          </cell>
          <cell r="C170">
            <v>0</v>
          </cell>
          <cell r="D170">
            <v>0</v>
          </cell>
        </row>
        <row r="171">
          <cell r="A171">
            <v>1343500220</v>
          </cell>
          <cell r="B171" t="str">
            <v>משפחתון השתת" ופעילות</v>
          </cell>
          <cell r="C171">
            <v>-10830</v>
          </cell>
          <cell r="D171">
            <v>0</v>
          </cell>
        </row>
        <row r="172">
          <cell r="A172">
            <v>1343500930</v>
          </cell>
          <cell r="B172" t="str">
            <v>רכזות משפחתונים</v>
          </cell>
          <cell r="C172">
            <v>-75800</v>
          </cell>
          <cell r="D172">
            <v>-19381</v>
          </cell>
        </row>
        <row r="173">
          <cell r="A173">
            <v>1343510930</v>
          </cell>
          <cell r="B173" t="str">
            <v>טיפול בילד בקהילה</v>
          </cell>
          <cell r="C173">
            <v>-364020</v>
          </cell>
          <cell r="D173">
            <v>-339199</v>
          </cell>
        </row>
        <row r="174">
          <cell r="A174">
            <v>1343800930</v>
          </cell>
          <cell r="B174" t="str">
            <v>אחזקת ילדים בפנימיות</v>
          </cell>
          <cell r="C174">
            <v>-188260</v>
          </cell>
          <cell r="D174">
            <v>-596859</v>
          </cell>
        </row>
        <row r="175">
          <cell r="A175">
            <v>1343900930</v>
          </cell>
          <cell r="B175" t="str">
            <v>אומנה/ילדים במעון</v>
          </cell>
          <cell r="C175">
            <v>-680560</v>
          </cell>
          <cell r="D175">
            <v>-204080</v>
          </cell>
        </row>
        <row r="176">
          <cell r="A176">
            <v>1344000220</v>
          </cell>
          <cell r="B176" t="str">
            <v>השתת פעילות בית זקנים</v>
          </cell>
          <cell r="C176">
            <v>-7500</v>
          </cell>
          <cell r="D176">
            <v>-4500</v>
          </cell>
        </row>
        <row r="177">
          <cell r="A177">
            <v>1344400930</v>
          </cell>
          <cell r="B177" t="str">
            <v>הבראה לזקן</v>
          </cell>
          <cell r="C177">
            <v>-177430</v>
          </cell>
          <cell r="D177">
            <v>-376980</v>
          </cell>
        </row>
        <row r="178">
          <cell r="A178">
            <v>1344410930</v>
          </cell>
          <cell r="B178" t="str">
            <v>מועדונים מועשרים</v>
          </cell>
          <cell r="C178">
            <v>0</v>
          </cell>
          <cell r="D178">
            <v>-107319</v>
          </cell>
        </row>
        <row r="179">
          <cell r="A179">
            <v>1345100930</v>
          </cell>
          <cell r="B179" t="str">
            <v>סדור מפגרים במוסדות</v>
          </cell>
          <cell r="C179">
            <v>-358190</v>
          </cell>
          <cell r="D179">
            <v>-93382</v>
          </cell>
        </row>
        <row r="180">
          <cell r="A180">
            <v>1345200930</v>
          </cell>
          <cell r="B180" t="str">
            <v>מפגרים במעון אמוני+מעשי"ם</v>
          </cell>
          <cell r="C180">
            <v>-471480</v>
          </cell>
          <cell r="D180">
            <v>-359159</v>
          </cell>
        </row>
        <row r="181">
          <cell r="A181">
            <v>1345300930</v>
          </cell>
          <cell r="B181" t="str">
            <v>שרותים תומכים למפגר</v>
          </cell>
          <cell r="C181">
            <v>0</v>
          </cell>
          <cell r="D181">
            <v>-22341</v>
          </cell>
        </row>
        <row r="182">
          <cell r="A182">
            <v>1345350930</v>
          </cell>
          <cell r="B182" t="str">
            <v>שיקום נכים בקהילה</v>
          </cell>
          <cell r="C182">
            <v>-15830</v>
          </cell>
          <cell r="D182">
            <v>-60322</v>
          </cell>
        </row>
        <row r="183">
          <cell r="A183">
            <v>1345400930</v>
          </cell>
          <cell r="B183" t="str">
            <v>הסעות וליווי מ.יום למפגר</v>
          </cell>
          <cell r="C183">
            <v>-418170</v>
          </cell>
          <cell r="D183">
            <v>-340429</v>
          </cell>
        </row>
        <row r="184">
          <cell r="A184">
            <v>1346400930</v>
          </cell>
          <cell r="B184" t="str">
            <v>מפעלי תעסוקה</v>
          </cell>
          <cell r="C184">
            <v>-8330</v>
          </cell>
          <cell r="D184">
            <v>-8788</v>
          </cell>
        </row>
        <row r="185">
          <cell r="A185">
            <v>1346410930</v>
          </cell>
          <cell r="B185" t="str">
            <v>דמי תקשורת חרשים</v>
          </cell>
          <cell r="C185">
            <v>0</v>
          </cell>
          <cell r="D185">
            <v>0</v>
          </cell>
        </row>
        <row r="186">
          <cell r="A186">
            <v>1346610930</v>
          </cell>
          <cell r="B186" t="str">
            <v>מעדוניות משותפות</v>
          </cell>
          <cell r="C186">
            <v>-68310</v>
          </cell>
          <cell r="D186">
            <v>-69410</v>
          </cell>
        </row>
        <row r="187">
          <cell r="A187">
            <v>1346700930</v>
          </cell>
          <cell r="B187" t="str">
            <v>נושמים לרווחה</v>
          </cell>
          <cell r="C187">
            <v>-33320</v>
          </cell>
          <cell r="D187">
            <v>-47932</v>
          </cell>
        </row>
        <row r="188">
          <cell r="A188">
            <v>1346800930</v>
          </cell>
          <cell r="B188" t="str">
            <v>מפעלי שיקום</v>
          </cell>
          <cell r="C188">
            <v>-139110</v>
          </cell>
          <cell r="D188">
            <v>-126986</v>
          </cell>
        </row>
        <row r="189">
          <cell r="A189">
            <v>1347100930</v>
          </cell>
          <cell r="B189" t="str">
            <v>מעלים לנוער</v>
          </cell>
          <cell r="C189">
            <v>-3330</v>
          </cell>
          <cell r="D189">
            <v>-47178</v>
          </cell>
        </row>
        <row r="190">
          <cell r="A190">
            <v>1347200930</v>
          </cell>
          <cell r="B190" t="str">
            <v>מלב"ם ויזמות ברווחה</v>
          </cell>
          <cell r="C190">
            <v>0</v>
          </cell>
          <cell r="D190">
            <v>0</v>
          </cell>
        </row>
        <row r="191">
          <cell r="A191">
            <v>1347300990</v>
          </cell>
          <cell r="B191" t="str">
            <v>רשות מלחמה בסמים</v>
          </cell>
          <cell r="C191">
            <v>0</v>
          </cell>
          <cell r="D191">
            <v>0</v>
          </cell>
        </row>
        <row r="192">
          <cell r="A192">
            <v>1353000990</v>
          </cell>
          <cell r="B192" t="str">
            <v>שרותי דת מסלומים</v>
          </cell>
          <cell r="C192">
            <v>0</v>
          </cell>
          <cell r="D192">
            <v>0</v>
          </cell>
        </row>
        <row r="193">
          <cell r="A193">
            <v>1380000900</v>
          </cell>
          <cell r="B193" t="str">
            <v>משרד לבטחון פנים- שמירת בתי"ס</v>
          </cell>
          <cell r="C193">
            <v>0</v>
          </cell>
          <cell r="D193">
            <v>0</v>
          </cell>
        </row>
        <row r="194">
          <cell r="A194">
            <v>1381000900</v>
          </cell>
          <cell r="B194" t="str">
            <v>משרד לבטחון פנים עיר ללא אלימו</v>
          </cell>
          <cell r="C194">
            <v>0</v>
          </cell>
          <cell r="D194">
            <v>0</v>
          </cell>
        </row>
        <row r="195">
          <cell r="A195">
            <v>1413100410</v>
          </cell>
          <cell r="B195" t="str">
            <v>אגרת מים-צריכה</v>
          </cell>
          <cell r="C195">
            <v>-1843430</v>
          </cell>
          <cell r="D195">
            <v>-2091714.2</v>
          </cell>
        </row>
        <row r="196">
          <cell r="A196">
            <v>1413110410</v>
          </cell>
          <cell r="B196" t="str">
            <v>צריכת מים פיגורים</v>
          </cell>
          <cell r="C196">
            <v>-1170370</v>
          </cell>
          <cell r="D196">
            <v>-119628.73</v>
          </cell>
        </row>
        <row r="197">
          <cell r="A197">
            <v>1413111410</v>
          </cell>
          <cell r="B197" t="str">
            <v>מים פיגורים 2008</v>
          </cell>
          <cell r="C197">
            <v>-48310</v>
          </cell>
          <cell r="D197">
            <v>-1347.19</v>
          </cell>
        </row>
        <row r="198">
          <cell r="A198">
            <v>1413112410</v>
          </cell>
          <cell r="B198" t="str">
            <v>מים פיגורים 2009</v>
          </cell>
          <cell r="C198">
            <v>-39980</v>
          </cell>
          <cell r="D198">
            <v>-88960.05</v>
          </cell>
        </row>
        <row r="199">
          <cell r="A199">
            <v>1413113410</v>
          </cell>
          <cell r="B199" t="str">
            <v>מים פיגורים 2010</v>
          </cell>
          <cell r="C199">
            <v>-64970</v>
          </cell>
          <cell r="D199">
            <v>-21063.87</v>
          </cell>
        </row>
        <row r="200">
          <cell r="A200">
            <v>1413114410</v>
          </cell>
          <cell r="B200" t="str">
            <v>מים פיגורים 2011</v>
          </cell>
          <cell r="C200">
            <v>-75800</v>
          </cell>
          <cell r="D200">
            <v>-15849.01</v>
          </cell>
        </row>
        <row r="201">
          <cell r="A201">
            <v>1413115410</v>
          </cell>
          <cell r="B201" t="str">
            <v>מים פיגורים 2012</v>
          </cell>
          <cell r="C201">
            <v>-61640</v>
          </cell>
          <cell r="D201">
            <v>-21305.25</v>
          </cell>
        </row>
        <row r="202">
          <cell r="A202">
            <v>1413116410</v>
          </cell>
          <cell r="B202" t="str">
            <v>מים פיגורים 2013</v>
          </cell>
          <cell r="C202">
            <v>-106620</v>
          </cell>
          <cell r="D202">
            <v>-27552.400000000001</v>
          </cell>
        </row>
        <row r="203">
          <cell r="A203">
            <v>1413117410</v>
          </cell>
          <cell r="B203" t="str">
            <v>מים פיגורים 2014</v>
          </cell>
          <cell r="C203">
            <v>-300710</v>
          </cell>
          <cell r="D203">
            <v>-73835.520000000004</v>
          </cell>
        </row>
        <row r="204">
          <cell r="A204">
            <v>1413118410</v>
          </cell>
          <cell r="B204" t="str">
            <v>מים פיגורים 2015</v>
          </cell>
          <cell r="C204">
            <v>0</v>
          </cell>
          <cell r="D204">
            <v>-109263.76</v>
          </cell>
        </row>
        <row r="205">
          <cell r="A205">
            <v>1413119410</v>
          </cell>
          <cell r="B205" t="str">
            <v>מים פיגורים 2016</v>
          </cell>
          <cell r="C205">
            <v>0</v>
          </cell>
          <cell r="D205">
            <v>-694232.91</v>
          </cell>
        </row>
        <row r="206">
          <cell r="A206">
            <v>1413120410</v>
          </cell>
          <cell r="B206" t="str">
            <v>היטל צריכה</v>
          </cell>
          <cell r="C206">
            <v>-4170</v>
          </cell>
          <cell r="D206">
            <v>-2687.16</v>
          </cell>
        </row>
        <row r="207">
          <cell r="A207">
            <v>1413130410</v>
          </cell>
          <cell r="B207" t="str">
            <v>החזר מים מקורות</v>
          </cell>
          <cell r="C207">
            <v>0</v>
          </cell>
          <cell r="D207">
            <v>0</v>
          </cell>
        </row>
        <row r="208">
          <cell r="A208">
            <v>1413200410</v>
          </cell>
          <cell r="B208" t="str">
            <v>מוני מים</v>
          </cell>
          <cell r="C208">
            <v>-12500</v>
          </cell>
          <cell r="D208">
            <v>-6549.21</v>
          </cell>
        </row>
        <row r="209">
          <cell r="A209">
            <v>1413300210</v>
          </cell>
          <cell r="B209" t="str">
            <v>מדי מים גבעה</v>
          </cell>
          <cell r="C209">
            <v>-10000</v>
          </cell>
          <cell r="D209">
            <v>-86042.47</v>
          </cell>
        </row>
        <row r="210">
          <cell r="A210">
            <v>1513000510</v>
          </cell>
          <cell r="B210" t="str">
            <v>החזר הוצ" שנים קודמות</v>
          </cell>
          <cell r="C210">
            <v>0</v>
          </cell>
          <cell r="D210">
            <v>0</v>
          </cell>
        </row>
        <row r="211">
          <cell r="A211">
            <v>1550000591</v>
          </cell>
          <cell r="B211" t="str">
            <v>הכנסות בלתי רגלים</v>
          </cell>
          <cell r="C211">
            <v>0</v>
          </cell>
          <cell r="D211">
            <v>0</v>
          </cell>
        </row>
        <row r="212">
          <cell r="A212">
            <v>1552000910</v>
          </cell>
          <cell r="B212" t="str">
            <v>מענק לכיסוי גרעון</v>
          </cell>
          <cell r="C212">
            <v>0</v>
          </cell>
          <cell r="D212">
            <v>0</v>
          </cell>
        </row>
        <row r="213">
          <cell r="A213">
            <v>1611000310</v>
          </cell>
          <cell r="B213" t="str">
            <v>פנסיה נבחרים</v>
          </cell>
          <cell r="C213">
            <v>0</v>
          </cell>
          <cell r="D213">
            <v>187473.55</v>
          </cell>
        </row>
        <row r="214">
          <cell r="A214">
            <v>1611100110</v>
          </cell>
          <cell r="B214" t="str">
            <v>משכורת</v>
          </cell>
          <cell r="C214">
            <v>976280</v>
          </cell>
          <cell r="D214">
            <v>1020928.08</v>
          </cell>
        </row>
        <row r="215">
          <cell r="A215">
            <v>1611100310</v>
          </cell>
          <cell r="B215" t="str">
            <v>משכורת</v>
          </cell>
          <cell r="C215">
            <v>624750</v>
          </cell>
          <cell r="D215">
            <v>312465.09999999998</v>
          </cell>
        </row>
        <row r="216">
          <cell r="A216">
            <v>1611100440</v>
          </cell>
          <cell r="B216" t="str">
            <v>ביטוחים</v>
          </cell>
          <cell r="C216">
            <v>15830</v>
          </cell>
          <cell r="D216">
            <v>0</v>
          </cell>
        </row>
        <row r="217">
          <cell r="A217">
            <v>1611100510</v>
          </cell>
          <cell r="B217" t="str">
            <v>כיבודים ואירוח</v>
          </cell>
          <cell r="C217">
            <v>3330</v>
          </cell>
          <cell r="D217">
            <v>0</v>
          </cell>
        </row>
        <row r="218">
          <cell r="A218">
            <v>1611100514</v>
          </cell>
          <cell r="B218" t="str">
            <v>החזר מתנות</v>
          </cell>
          <cell r="C218">
            <v>13330</v>
          </cell>
          <cell r="D218">
            <v>0</v>
          </cell>
        </row>
        <row r="219">
          <cell r="A219">
            <v>1611100521</v>
          </cell>
          <cell r="B219" t="str">
            <v>השתלמויות</v>
          </cell>
          <cell r="C219">
            <v>0</v>
          </cell>
          <cell r="D219">
            <v>2000</v>
          </cell>
        </row>
        <row r="220">
          <cell r="A220">
            <v>1611100525</v>
          </cell>
          <cell r="B220" t="str">
            <v>אבטחת יו"ר מאויים6</v>
          </cell>
          <cell r="C220">
            <v>0</v>
          </cell>
          <cell r="D220">
            <v>97670</v>
          </cell>
        </row>
        <row r="221">
          <cell r="A221">
            <v>1611100531</v>
          </cell>
          <cell r="B221" t="str">
            <v>רכב</v>
          </cell>
          <cell r="C221">
            <v>0</v>
          </cell>
          <cell r="D221">
            <v>42395</v>
          </cell>
        </row>
        <row r="222">
          <cell r="A222">
            <v>1611100540</v>
          </cell>
          <cell r="B222" t="str">
            <v>טלפונים הוצ</v>
          </cell>
          <cell r="C222">
            <v>10000</v>
          </cell>
          <cell r="D222">
            <v>36994.410000000003</v>
          </cell>
        </row>
        <row r="223">
          <cell r="A223">
            <v>1611100550</v>
          </cell>
          <cell r="B223" t="str">
            <v>מחשוב לשכת ראש מועצה</v>
          </cell>
          <cell r="C223">
            <v>0</v>
          </cell>
          <cell r="D223">
            <v>0</v>
          </cell>
        </row>
        <row r="224">
          <cell r="A224">
            <v>1611100810</v>
          </cell>
          <cell r="B224" t="str">
            <v>ועד ארצי לראשי רשיות</v>
          </cell>
          <cell r="C224">
            <v>0</v>
          </cell>
          <cell r="D224">
            <v>0</v>
          </cell>
        </row>
        <row r="225">
          <cell r="A225">
            <v>1611100910</v>
          </cell>
          <cell r="B225" t="str">
            <v>השתתפות בתב"ר</v>
          </cell>
          <cell r="C225">
            <v>0</v>
          </cell>
          <cell r="D225">
            <v>0</v>
          </cell>
        </row>
        <row r="226">
          <cell r="A226">
            <v>1611120110</v>
          </cell>
          <cell r="B226" t="str">
            <v>יועץ לראש המועצה</v>
          </cell>
          <cell r="C226">
            <v>0</v>
          </cell>
          <cell r="D226">
            <v>0</v>
          </cell>
        </row>
        <row r="227">
          <cell r="A227">
            <v>1611130110</v>
          </cell>
          <cell r="B227" t="str">
            <v>נהג ליו"ר ופקיד שליחיות</v>
          </cell>
          <cell r="C227">
            <v>0</v>
          </cell>
          <cell r="D227">
            <v>0</v>
          </cell>
        </row>
        <row r="228">
          <cell r="A228">
            <v>1611200110</v>
          </cell>
          <cell r="B228" t="str">
            <v>משכורת שרתים מועצה</v>
          </cell>
          <cell r="C228">
            <v>0</v>
          </cell>
          <cell r="D228">
            <v>0</v>
          </cell>
        </row>
        <row r="229">
          <cell r="A229">
            <v>1612000310</v>
          </cell>
          <cell r="B229" t="str">
            <v>פנסיונרים</v>
          </cell>
          <cell r="C229">
            <v>573100</v>
          </cell>
          <cell r="D229">
            <v>689831.22</v>
          </cell>
        </row>
        <row r="230">
          <cell r="A230">
            <v>1612000521</v>
          </cell>
          <cell r="B230" t="str">
            <v>השתלמות פנסיונרים</v>
          </cell>
          <cell r="C230">
            <v>7500</v>
          </cell>
          <cell r="D230">
            <v>0</v>
          </cell>
        </row>
        <row r="231">
          <cell r="A231">
            <v>1612100110</v>
          </cell>
          <cell r="B231" t="str">
            <v>מבקר פנים</v>
          </cell>
          <cell r="C231">
            <v>205750</v>
          </cell>
          <cell r="D231">
            <v>163358.16</v>
          </cell>
        </row>
        <row r="232">
          <cell r="A232">
            <v>1612200110</v>
          </cell>
          <cell r="B232" t="str">
            <v>יועץ משפטי</v>
          </cell>
          <cell r="C232">
            <v>0</v>
          </cell>
          <cell r="D232">
            <v>0</v>
          </cell>
        </row>
        <row r="233">
          <cell r="A233">
            <v>1613000110</v>
          </cell>
          <cell r="B233" t="str">
            <v>שכר מזכיר המועצה</v>
          </cell>
          <cell r="C233">
            <v>332370</v>
          </cell>
          <cell r="D233">
            <v>242681.2</v>
          </cell>
        </row>
        <row r="234">
          <cell r="A234">
            <v>1613000400</v>
          </cell>
          <cell r="B234" t="str">
            <v>אחזקת בנינים</v>
          </cell>
          <cell r="C234">
            <v>5000</v>
          </cell>
          <cell r="D234">
            <v>12098.63</v>
          </cell>
        </row>
        <row r="235">
          <cell r="A235">
            <v>1613000431</v>
          </cell>
          <cell r="B235" t="str">
            <v>חשמל למועצה</v>
          </cell>
          <cell r="C235">
            <v>14990</v>
          </cell>
          <cell r="D235">
            <v>8210.44</v>
          </cell>
        </row>
        <row r="236">
          <cell r="A236">
            <v>1613000432</v>
          </cell>
          <cell r="B236" t="str">
            <v>מים למועצה</v>
          </cell>
          <cell r="C236">
            <v>14990</v>
          </cell>
          <cell r="D236">
            <v>72835.899999999994</v>
          </cell>
        </row>
        <row r="237">
          <cell r="A237">
            <v>1613000433</v>
          </cell>
          <cell r="B237" t="str">
            <v>חומרי ניקוי וציוד</v>
          </cell>
          <cell r="C237">
            <v>6660</v>
          </cell>
          <cell r="D237">
            <v>11901</v>
          </cell>
        </row>
        <row r="238">
          <cell r="A238">
            <v>1613000440</v>
          </cell>
          <cell r="B238" t="str">
            <v>ביטוחים</v>
          </cell>
          <cell r="C238">
            <v>160770</v>
          </cell>
          <cell r="D238">
            <v>409000</v>
          </cell>
        </row>
        <row r="239">
          <cell r="A239">
            <v>1613000450</v>
          </cell>
          <cell r="B239" t="str">
            <v>רהוט והחזקתו</v>
          </cell>
          <cell r="C239">
            <v>0</v>
          </cell>
          <cell r="D239">
            <v>15584.4</v>
          </cell>
        </row>
        <row r="240">
          <cell r="A240">
            <v>1613000460</v>
          </cell>
          <cell r="B240" t="str">
            <v>מכשירי כתיבה והדפס</v>
          </cell>
          <cell r="C240">
            <v>14160</v>
          </cell>
          <cell r="D240">
            <v>19468.8</v>
          </cell>
        </row>
        <row r="241">
          <cell r="A241">
            <v>1613000470</v>
          </cell>
          <cell r="B241" t="str">
            <v>מכונות משרד והחזקת</v>
          </cell>
          <cell r="C241">
            <v>10000</v>
          </cell>
          <cell r="D241">
            <v>9765.39</v>
          </cell>
        </row>
        <row r="242">
          <cell r="A242">
            <v>1613000510</v>
          </cell>
          <cell r="B242" t="str">
            <v>כיבודים למועצה</v>
          </cell>
          <cell r="C242">
            <v>17490</v>
          </cell>
          <cell r="D242">
            <v>25766</v>
          </cell>
        </row>
        <row r="243">
          <cell r="A243">
            <v>1613000521</v>
          </cell>
          <cell r="B243" t="str">
            <v>השתלמויות</v>
          </cell>
          <cell r="C243">
            <v>56640</v>
          </cell>
          <cell r="D243">
            <v>85530</v>
          </cell>
        </row>
        <row r="244">
          <cell r="A244">
            <v>1613000522</v>
          </cell>
          <cell r="B244" t="str">
            <v>ספרות מקצועית</v>
          </cell>
          <cell r="C244">
            <v>0</v>
          </cell>
          <cell r="D244">
            <v>1733</v>
          </cell>
        </row>
        <row r="245">
          <cell r="A245">
            <v>1613000540</v>
          </cell>
          <cell r="B245" t="str">
            <v>תקשורת</v>
          </cell>
          <cell r="C245">
            <v>59980</v>
          </cell>
          <cell r="D245">
            <v>19165.189999999999</v>
          </cell>
        </row>
        <row r="246">
          <cell r="A246">
            <v>1613000550</v>
          </cell>
          <cell r="B246" t="str">
            <v>פרסומים</v>
          </cell>
          <cell r="C246">
            <v>15830</v>
          </cell>
          <cell r="D246">
            <v>83080.5</v>
          </cell>
        </row>
        <row r="247">
          <cell r="A247">
            <v>1613000560</v>
          </cell>
          <cell r="B247" t="str">
            <v>משרדיות</v>
          </cell>
          <cell r="C247">
            <v>29160</v>
          </cell>
          <cell r="D247">
            <v>20378</v>
          </cell>
        </row>
        <row r="248">
          <cell r="A248">
            <v>1613000570</v>
          </cell>
          <cell r="B248" t="str">
            <v>מיכון ועיבוד נתונים</v>
          </cell>
          <cell r="C248">
            <v>0</v>
          </cell>
          <cell r="D248">
            <v>0</v>
          </cell>
        </row>
        <row r="249">
          <cell r="A249">
            <v>1613000930</v>
          </cell>
          <cell r="B249" t="str">
            <v>ציוד יסודי</v>
          </cell>
          <cell r="C249">
            <v>16660</v>
          </cell>
          <cell r="D249">
            <v>638</v>
          </cell>
        </row>
        <row r="250">
          <cell r="A250">
            <v>1613100110</v>
          </cell>
          <cell r="B250" t="str">
            <v>הוצ משכורת מזכירות מועצה</v>
          </cell>
          <cell r="C250">
            <v>307380</v>
          </cell>
          <cell r="D250">
            <v>195581.44</v>
          </cell>
        </row>
        <row r="251">
          <cell r="A251">
            <v>1616100521</v>
          </cell>
          <cell r="B251" t="str">
            <v>השתלמויות</v>
          </cell>
          <cell r="C251">
            <v>0</v>
          </cell>
          <cell r="D251">
            <v>0</v>
          </cell>
        </row>
        <row r="252">
          <cell r="A252">
            <v>1616100810</v>
          </cell>
          <cell r="B252" t="str">
            <v>השתלמיות</v>
          </cell>
          <cell r="C252">
            <v>10000</v>
          </cell>
          <cell r="D252">
            <v>0</v>
          </cell>
        </row>
        <row r="253">
          <cell r="A253">
            <v>1617000620</v>
          </cell>
          <cell r="B253" t="str">
            <v>הוצאות משפטיות</v>
          </cell>
          <cell r="C253">
            <v>83300</v>
          </cell>
          <cell r="D253">
            <v>105345.86</v>
          </cell>
        </row>
        <row r="254">
          <cell r="A254">
            <v>1617000750</v>
          </cell>
          <cell r="B254" t="str">
            <v>יעוץ משפטי</v>
          </cell>
          <cell r="C254">
            <v>186590</v>
          </cell>
          <cell r="D254">
            <v>223410</v>
          </cell>
        </row>
        <row r="255">
          <cell r="A255">
            <v>1617000980</v>
          </cell>
          <cell r="B255" t="str">
            <v>משפטיות</v>
          </cell>
          <cell r="C255">
            <v>2500</v>
          </cell>
          <cell r="D255">
            <v>0</v>
          </cell>
        </row>
        <row r="256">
          <cell r="A256">
            <v>1618000780</v>
          </cell>
          <cell r="B256" t="str">
            <v>העמותה לקידום מקצועי</v>
          </cell>
          <cell r="C256">
            <v>58310</v>
          </cell>
          <cell r="D256">
            <v>0</v>
          </cell>
        </row>
        <row r="257">
          <cell r="A257">
            <v>1619000580</v>
          </cell>
          <cell r="B257" t="str">
            <v>הוצ" בחירות ברישות</v>
          </cell>
          <cell r="C257">
            <v>0</v>
          </cell>
          <cell r="D257">
            <v>0</v>
          </cell>
        </row>
        <row r="258">
          <cell r="A258">
            <v>1621000110</v>
          </cell>
          <cell r="B258" t="str">
            <v>משכורת</v>
          </cell>
          <cell r="C258">
            <v>568940</v>
          </cell>
          <cell r="D258">
            <v>519009.27</v>
          </cell>
        </row>
        <row r="259">
          <cell r="A259">
            <v>1621000521</v>
          </cell>
          <cell r="B259" t="str">
            <v>השתלמיות גזברות</v>
          </cell>
          <cell r="C259">
            <v>5000</v>
          </cell>
          <cell r="D259">
            <v>4950</v>
          </cell>
        </row>
        <row r="260">
          <cell r="A260">
            <v>1621000540</v>
          </cell>
          <cell r="B260" t="str">
            <v>הוצ תקשורת</v>
          </cell>
          <cell r="C260">
            <v>830</v>
          </cell>
          <cell r="D260">
            <v>0</v>
          </cell>
        </row>
        <row r="261">
          <cell r="A261">
            <v>1621000750</v>
          </cell>
          <cell r="B261" t="str">
            <v>עבודות קבלניות</v>
          </cell>
          <cell r="C261">
            <v>118290</v>
          </cell>
          <cell r="D261">
            <v>93447</v>
          </cell>
        </row>
        <row r="262">
          <cell r="A262">
            <v>1621100110</v>
          </cell>
          <cell r="B262" t="str">
            <v>מ.מ/ עוזר לגזבר</v>
          </cell>
          <cell r="C262">
            <v>0</v>
          </cell>
          <cell r="D262">
            <v>0</v>
          </cell>
        </row>
        <row r="263">
          <cell r="A263">
            <v>1621100523</v>
          </cell>
          <cell r="B263" t="str">
            <v>דמי  חבר במרכז השלטון</v>
          </cell>
          <cell r="C263">
            <v>0</v>
          </cell>
          <cell r="D263">
            <v>0</v>
          </cell>
        </row>
        <row r="264">
          <cell r="A264">
            <v>1621100810</v>
          </cell>
          <cell r="B264" t="str">
            <v>דמי חבר במרכז השלטון</v>
          </cell>
          <cell r="C264">
            <v>0</v>
          </cell>
          <cell r="D264">
            <v>0</v>
          </cell>
        </row>
        <row r="265">
          <cell r="A265">
            <v>1621130110</v>
          </cell>
          <cell r="B265" t="str">
            <v>משכורת קופאית</v>
          </cell>
          <cell r="C265">
            <v>107460</v>
          </cell>
          <cell r="D265">
            <v>95161.8</v>
          </cell>
        </row>
        <row r="266">
          <cell r="A266">
            <v>1621300110</v>
          </cell>
          <cell r="B266" t="str">
            <v>משכורת</v>
          </cell>
          <cell r="C266">
            <v>118290</v>
          </cell>
          <cell r="D266">
            <v>130477.56</v>
          </cell>
        </row>
        <row r="267">
          <cell r="A267">
            <v>1621300521</v>
          </cell>
          <cell r="B267" t="str">
            <v>השתלמויות</v>
          </cell>
          <cell r="C267">
            <v>3330</v>
          </cell>
          <cell r="D267">
            <v>0</v>
          </cell>
        </row>
        <row r="268">
          <cell r="A268">
            <v>1621300570</v>
          </cell>
          <cell r="B268" t="str">
            <v>אוטומאציה</v>
          </cell>
          <cell r="C268">
            <v>217410</v>
          </cell>
          <cell r="D268">
            <v>228885.87</v>
          </cell>
        </row>
        <row r="269">
          <cell r="A269">
            <v>1621500110</v>
          </cell>
          <cell r="B269" t="str">
            <v>חשב שכר</v>
          </cell>
          <cell r="C269">
            <v>83300</v>
          </cell>
          <cell r="D269">
            <v>74893.94</v>
          </cell>
        </row>
        <row r="270">
          <cell r="A270">
            <v>1621600110</v>
          </cell>
          <cell r="B270" t="str">
            <v>קניין מועצה</v>
          </cell>
          <cell r="C270">
            <v>0</v>
          </cell>
          <cell r="D270">
            <v>0</v>
          </cell>
        </row>
        <row r="271">
          <cell r="A271">
            <v>1623000110</v>
          </cell>
          <cell r="B271" t="str">
            <v>משכורת</v>
          </cell>
          <cell r="C271">
            <v>0</v>
          </cell>
          <cell r="D271">
            <v>0</v>
          </cell>
        </row>
        <row r="272">
          <cell r="A272">
            <v>1623000750</v>
          </cell>
          <cell r="B272" t="str">
            <v>חברת גביה עמלות גביה</v>
          </cell>
          <cell r="C272">
            <v>458150</v>
          </cell>
          <cell r="D272">
            <v>355922.14</v>
          </cell>
        </row>
        <row r="273">
          <cell r="A273">
            <v>1623100110</v>
          </cell>
          <cell r="B273" t="str">
            <v>הוצ משכורת</v>
          </cell>
          <cell r="C273">
            <v>55810</v>
          </cell>
          <cell r="D273">
            <v>88423.46</v>
          </cell>
        </row>
        <row r="274">
          <cell r="A274">
            <v>1631000610</v>
          </cell>
          <cell r="B274" t="str">
            <v>עמלות</v>
          </cell>
          <cell r="C274">
            <v>122450</v>
          </cell>
          <cell r="D274">
            <v>135475.04</v>
          </cell>
        </row>
        <row r="275">
          <cell r="A275">
            <v>1632000620</v>
          </cell>
          <cell r="B275" t="str">
            <v>ריבית</v>
          </cell>
          <cell r="C275">
            <v>2500</v>
          </cell>
          <cell r="D275">
            <v>-929.32</v>
          </cell>
        </row>
        <row r="276">
          <cell r="A276">
            <v>1649100691</v>
          </cell>
          <cell r="B276" t="str">
            <v>קרן</v>
          </cell>
          <cell r="C276">
            <v>229910</v>
          </cell>
          <cell r="D276">
            <v>248684.64</v>
          </cell>
        </row>
        <row r="277">
          <cell r="A277">
            <v>1649100692</v>
          </cell>
          <cell r="B277" t="str">
            <v>רבית</v>
          </cell>
          <cell r="C277">
            <v>66640</v>
          </cell>
          <cell r="D277">
            <v>61123.63</v>
          </cell>
        </row>
        <row r="278">
          <cell r="A278">
            <v>1649100693</v>
          </cell>
          <cell r="B278" t="str">
            <v>הצמדה</v>
          </cell>
          <cell r="C278">
            <v>26660</v>
          </cell>
          <cell r="D278">
            <v>31833.59</v>
          </cell>
        </row>
        <row r="279">
          <cell r="A279">
            <v>1711000540</v>
          </cell>
          <cell r="B279" t="str">
            <v>הות" תקשורת</v>
          </cell>
          <cell r="C279">
            <v>0</v>
          </cell>
          <cell r="D279">
            <v>0</v>
          </cell>
        </row>
        <row r="280">
          <cell r="A280">
            <v>1712200110</v>
          </cell>
          <cell r="B280" t="str">
            <v>משכורת</v>
          </cell>
          <cell r="C280">
            <v>0</v>
          </cell>
          <cell r="D280">
            <v>18437.669999999998</v>
          </cell>
        </row>
        <row r="281">
          <cell r="A281">
            <v>1712200750</v>
          </cell>
          <cell r="B281" t="str">
            <v>עבודות קבלניות</v>
          </cell>
          <cell r="C281">
            <v>0</v>
          </cell>
          <cell r="D281">
            <v>0</v>
          </cell>
        </row>
        <row r="282">
          <cell r="A282">
            <v>1712220750</v>
          </cell>
          <cell r="B282" t="str">
            <v>ימי רענון והשלמויות תברואה</v>
          </cell>
          <cell r="C282">
            <v>830</v>
          </cell>
          <cell r="D282">
            <v>0</v>
          </cell>
        </row>
        <row r="283">
          <cell r="A283">
            <v>1712300750</v>
          </cell>
          <cell r="B283" t="str">
            <v>עבודות קבלניות-פינוי אשפה</v>
          </cell>
          <cell r="C283">
            <v>2561480</v>
          </cell>
          <cell r="D283">
            <v>2599963</v>
          </cell>
        </row>
        <row r="284">
          <cell r="A284">
            <v>1712300932</v>
          </cell>
          <cell r="B284" t="str">
            <v>פחי אשפה</v>
          </cell>
          <cell r="C284">
            <v>3330</v>
          </cell>
          <cell r="D284">
            <v>0</v>
          </cell>
        </row>
        <row r="285">
          <cell r="A285">
            <v>1713000110</v>
          </cell>
          <cell r="B285" t="str">
            <v>משכורות כוללות</v>
          </cell>
          <cell r="C285">
            <v>99130</v>
          </cell>
          <cell r="D285">
            <v>95474.29</v>
          </cell>
        </row>
        <row r="286">
          <cell r="A286">
            <v>1713100830</v>
          </cell>
          <cell r="B286" t="str">
            <v>איגוד ערים-איכות הסביבה</v>
          </cell>
          <cell r="C286">
            <v>33320</v>
          </cell>
          <cell r="D286">
            <v>22144</v>
          </cell>
        </row>
        <row r="287">
          <cell r="A287">
            <v>1714200830</v>
          </cell>
          <cell r="B287" t="str">
            <v>א ע שמרון מטבחיים השת</v>
          </cell>
          <cell r="C287">
            <v>66640</v>
          </cell>
          <cell r="D287">
            <v>100968.5</v>
          </cell>
        </row>
        <row r="288">
          <cell r="A288">
            <v>1715000720</v>
          </cell>
          <cell r="B288" t="str">
            <v>חומרי הדברה</v>
          </cell>
          <cell r="C288">
            <v>4170</v>
          </cell>
          <cell r="D288">
            <v>3907.8</v>
          </cell>
        </row>
        <row r="289">
          <cell r="A289">
            <v>1715000840</v>
          </cell>
          <cell r="B289" t="str">
            <v>כבוי חדרה</v>
          </cell>
          <cell r="C289">
            <v>78300</v>
          </cell>
          <cell r="D289">
            <v>0</v>
          </cell>
        </row>
        <row r="290">
          <cell r="A290">
            <v>1722000930</v>
          </cell>
          <cell r="B290" t="str">
            <v>שמירה בטחונית ציוד</v>
          </cell>
          <cell r="C290">
            <v>9160</v>
          </cell>
          <cell r="D290">
            <v>-1643.85</v>
          </cell>
        </row>
        <row r="291">
          <cell r="A291">
            <v>1724000591</v>
          </cell>
          <cell r="B291" t="str">
            <v>הג"א השתתפיות ותרומות</v>
          </cell>
          <cell r="C291">
            <v>0</v>
          </cell>
          <cell r="D291">
            <v>0</v>
          </cell>
        </row>
        <row r="292">
          <cell r="A292">
            <v>1724000810</v>
          </cell>
          <cell r="B292" t="str">
            <v>הג"א השתתפיות ותרומות</v>
          </cell>
          <cell r="C292">
            <v>89130</v>
          </cell>
          <cell r="D292">
            <v>164500.5</v>
          </cell>
        </row>
        <row r="293">
          <cell r="A293">
            <v>1731000110</v>
          </cell>
          <cell r="B293" t="str">
            <v>משכורת מהנדס המועצה</v>
          </cell>
          <cell r="C293">
            <v>385680</v>
          </cell>
          <cell r="D293">
            <v>208223.21</v>
          </cell>
        </row>
        <row r="294">
          <cell r="A294">
            <v>1731000540</v>
          </cell>
          <cell r="B294" t="str">
            <v>הוצ" תקשורת</v>
          </cell>
          <cell r="C294">
            <v>2500</v>
          </cell>
          <cell r="D294">
            <v>0</v>
          </cell>
        </row>
        <row r="295">
          <cell r="A295">
            <v>1731000750</v>
          </cell>
          <cell r="B295" t="str">
            <v>עבודות קבלניות _תכנו</v>
          </cell>
          <cell r="C295">
            <v>6660</v>
          </cell>
          <cell r="D295">
            <v>2925</v>
          </cell>
        </row>
        <row r="296">
          <cell r="A296">
            <v>1732000110</v>
          </cell>
          <cell r="B296" t="str">
            <v>מזכירות מחלקת הנדסה</v>
          </cell>
          <cell r="C296">
            <v>0</v>
          </cell>
          <cell r="D296">
            <v>0</v>
          </cell>
        </row>
        <row r="297">
          <cell r="A297">
            <v>1732000540</v>
          </cell>
          <cell r="B297" t="str">
            <v>פלפון מהנדס</v>
          </cell>
          <cell r="C297">
            <v>0</v>
          </cell>
          <cell r="D297">
            <v>0</v>
          </cell>
        </row>
        <row r="298">
          <cell r="A298">
            <v>1732000950</v>
          </cell>
          <cell r="B298" t="str">
            <v>צילומים</v>
          </cell>
          <cell r="C298">
            <v>55810</v>
          </cell>
          <cell r="D298">
            <v>772.2</v>
          </cell>
        </row>
        <row r="299">
          <cell r="A299">
            <v>1732300750</v>
          </cell>
          <cell r="B299" t="str">
            <v>מדידות</v>
          </cell>
          <cell r="C299">
            <v>24160</v>
          </cell>
          <cell r="D299">
            <v>48.48</v>
          </cell>
        </row>
        <row r="300">
          <cell r="A300">
            <v>1732400750</v>
          </cell>
          <cell r="B300" t="str">
            <v>השתתפות בתכנון</v>
          </cell>
          <cell r="C300">
            <v>0</v>
          </cell>
          <cell r="D300">
            <v>0</v>
          </cell>
        </row>
        <row r="301">
          <cell r="A301">
            <v>1742100592</v>
          </cell>
          <cell r="B301" t="str">
            <v>רשות הניקוז השתתפות</v>
          </cell>
          <cell r="C301">
            <v>0</v>
          </cell>
          <cell r="D301">
            <v>0</v>
          </cell>
        </row>
        <row r="302">
          <cell r="A302">
            <v>1742100750</v>
          </cell>
          <cell r="B302" t="str">
            <v>אחזקת כבישים</v>
          </cell>
          <cell r="C302">
            <v>83300</v>
          </cell>
          <cell r="D302">
            <v>81841</v>
          </cell>
        </row>
        <row r="303">
          <cell r="A303">
            <v>1742100810</v>
          </cell>
          <cell r="B303" t="str">
            <v>רשות הניקוז השתתפות</v>
          </cell>
          <cell r="C303">
            <v>44150</v>
          </cell>
          <cell r="D303">
            <v>85000</v>
          </cell>
        </row>
        <row r="304">
          <cell r="A304">
            <v>1742100930</v>
          </cell>
          <cell r="B304" t="str">
            <v>ציוד יסודי כבישים</v>
          </cell>
          <cell r="C304">
            <v>4170</v>
          </cell>
          <cell r="D304">
            <v>0</v>
          </cell>
        </row>
        <row r="305">
          <cell r="A305">
            <v>1743000110</v>
          </cell>
          <cell r="B305" t="str">
            <v>משכורת חשמלאי</v>
          </cell>
          <cell r="C305">
            <v>0</v>
          </cell>
          <cell r="D305">
            <v>0</v>
          </cell>
        </row>
        <row r="306">
          <cell r="A306">
            <v>1743000431</v>
          </cell>
          <cell r="B306" t="str">
            <v>חשמל רחובות</v>
          </cell>
          <cell r="C306">
            <v>209080</v>
          </cell>
          <cell r="D306">
            <v>163058.23999999999</v>
          </cell>
        </row>
        <row r="307">
          <cell r="A307">
            <v>1743000540</v>
          </cell>
          <cell r="B307" t="str">
            <v>הוצ תקשורת</v>
          </cell>
          <cell r="C307">
            <v>0</v>
          </cell>
          <cell r="D307">
            <v>0</v>
          </cell>
        </row>
        <row r="308">
          <cell r="A308">
            <v>1743000750</v>
          </cell>
          <cell r="B308" t="str">
            <v>עבודות קבלניות- חשמל</v>
          </cell>
          <cell r="C308">
            <v>147440</v>
          </cell>
          <cell r="D308">
            <v>101148.65</v>
          </cell>
        </row>
        <row r="309">
          <cell r="A309">
            <v>1744000581</v>
          </cell>
          <cell r="B309" t="str">
            <v>בטיחות בדרכים</v>
          </cell>
          <cell r="C309">
            <v>0</v>
          </cell>
          <cell r="D309">
            <v>0</v>
          </cell>
        </row>
        <row r="310">
          <cell r="A310">
            <v>1744000810</v>
          </cell>
          <cell r="B310" t="str">
            <v>בטיחות בדרכים</v>
          </cell>
          <cell r="C310">
            <v>83300</v>
          </cell>
          <cell r="D310">
            <v>38600</v>
          </cell>
        </row>
        <row r="311">
          <cell r="A311">
            <v>1746000422</v>
          </cell>
          <cell r="B311" t="str">
            <v>גינון</v>
          </cell>
          <cell r="C311">
            <v>0</v>
          </cell>
          <cell r="D311">
            <v>27378</v>
          </cell>
        </row>
        <row r="312">
          <cell r="A312">
            <v>1746000432</v>
          </cell>
          <cell r="B312" t="str">
            <v>הוצ מים לגינון</v>
          </cell>
          <cell r="C312">
            <v>8330</v>
          </cell>
          <cell r="D312">
            <v>0</v>
          </cell>
        </row>
        <row r="313">
          <cell r="A313">
            <v>1746000740</v>
          </cell>
          <cell r="B313" t="str">
            <v>ציוד</v>
          </cell>
          <cell r="C313">
            <v>4170</v>
          </cell>
          <cell r="D313">
            <v>0</v>
          </cell>
        </row>
        <row r="314">
          <cell r="A314">
            <v>1746000810</v>
          </cell>
          <cell r="B314" t="str">
            <v>גנון</v>
          </cell>
          <cell r="C314">
            <v>136610</v>
          </cell>
          <cell r="D314">
            <v>4001.4</v>
          </cell>
        </row>
        <row r="315">
          <cell r="A315">
            <v>1761000110</v>
          </cell>
          <cell r="B315" t="str">
            <v>מנהל מדור חרום</v>
          </cell>
          <cell r="C315">
            <v>198250</v>
          </cell>
          <cell r="D315">
            <v>178157.92</v>
          </cell>
        </row>
        <row r="316">
          <cell r="A316">
            <v>1761000422</v>
          </cell>
          <cell r="B316" t="str">
            <v>מדור חירום</v>
          </cell>
          <cell r="C316">
            <v>0</v>
          </cell>
          <cell r="D316">
            <v>0</v>
          </cell>
        </row>
        <row r="317">
          <cell r="A317">
            <v>1761000431</v>
          </cell>
          <cell r="B317" t="str">
            <v>חשמל מחסן מל"ח</v>
          </cell>
          <cell r="C317">
            <v>0</v>
          </cell>
          <cell r="D317">
            <v>0</v>
          </cell>
        </row>
        <row r="318">
          <cell r="A318">
            <v>1761000521</v>
          </cell>
          <cell r="B318" t="str">
            <v>השתלמותוהצ" קבטי"ם</v>
          </cell>
          <cell r="C318">
            <v>1670</v>
          </cell>
          <cell r="D318">
            <v>835</v>
          </cell>
        </row>
        <row r="319">
          <cell r="A319">
            <v>1761000540</v>
          </cell>
          <cell r="B319" t="str">
            <v>הוצ" תקשורת</v>
          </cell>
          <cell r="C319">
            <v>1670</v>
          </cell>
          <cell r="D319">
            <v>0</v>
          </cell>
        </row>
        <row r="320">
          <cell r="A320">
            <v>1761000810</v>
          </cell>
          <cell r="B320" t="str">
            <v>מדור חירום</v>
          </cell>
          <cell r="C320">
            <v>29160</v>
          </cell>
          <cell r="D320">
            <v>16100</v>
          </cell>
        </row>
        <row r="321">
          <cell r="A321">
            <v>1799000750</v>
          </cell>
          <cell r="B321" t="str">
            <v>עב" קבלניות חקלאיות</v>
          </cell>
          <cell r="C321">
            <v>0</v>
          </cell>
          <cell r="D321">
            <v>0</v>
          </cell>
        </row>
        <row r="322">
          <cell r="A322">
            <v>1811000110</v>
          </cell>
          <cell r="B322" t="str">
            <v>משכורת ושכ"ע</v>
          </cell>
          <cell r="C322">
            <v>411500</v>
          </cell>
          <cell r="D322">
            <v>405652.44</v>
          </cell>
        </row>
        <row r="323">
          <cell r="A323">
            <v>1811000521</v>
          </cell>
          <cell r="B323" t="str">
            <v>השתלמויות</v>
          </cell>
          <cell r="C323">
            <v>2500</v>
          </cell>
          <cell r="D323">
            <v>0</v>
          </cell>
        </row>
        <row r="324">
          <cell r="A324">
            <v>1811000540</v>
          </cell>
          <cell r="B324" t="str">
            <v>הוצ" תקשורת</v>
          </cell>
          <cell r="C324">
            <v>0</v>
          </cell>
          <cell r="D324">
            <v>0</v>
          </cell>
        </row>
        <row r="325">
          <cell r="A325">
            <v>1811000560</v>
          </cell>
          <cell r="B325" t="str">
            <v>מחלקת חינוך הנהלה</v>
          </cell>
          <cell r="C325">
            <v>0</v>
          </cell>
          <cell r="D325">
            <v>0</v>
          </cell>
        </row>
        <row r="326">
          <cell r="A326">
            <v>1811000810</v>
          </cell>
          <cell r="B326" t="str">
            <v>מחלקת חינוך הנהלה</v>
          </cell>
          <cell r="C326">
            <v>0</v>
          </cell>
          <cell r="D326">
            <v>0</v>
          </cell>
        </row>
        <row r="327">
          <cell r="A327">
            <v>1811200580</v>
          </cell>
          <cell r="B327" t="str">
            <v>הפעלת תוכנית קיץ במוסדות חנוך</v>
          </cell>
          <cell r="C327">
            <v>0</v>
          </cell>
          <cell r="D327">
            <v>0</v>
          </cell>
        </row>
        <row r="328">
          <cell r="A328">
            <v>1811200810</v>
          </cell>
          <cell r="B328" t="str">
            <v>הפעלת תוכנית קיץ במוסדות חנוך</v>
          </cell>
          <cell r="C328">
            <v>458150</v>
          </cell>
          <cell r="D328">
            <v>399718</v>
          </cell>
        </row>
        <row r="329">
          <cell r="A329">
            <v>1812000560</v>
          </cell>
          <cell r="B329" t="str">
            <v>צילומים והדפסות גנים</v>
          </cell>
          <cell r="C329">
            <v>36650</v>
          </cell>
          <cell r="D329">
            <v>6971</v>
          </cell>
        </row>
        <row r="330">
          <cell r="A330">
            <v>1812200110</v>
          </cell>
          <cell r="B330" t="str">
            <v>משכורת ושכ"ע</v>
          </cell>
          <cell r="C330">
            <v>3055440</v>
          </cell>
          <cell r="D330">
            <v>2842845.45</v>
          </cell>
        </row>
        <row r="331">
          <cell r="A331">
            <v>1812200410</v>
          </cell>
          <cell r="B331" t="str">
            <v>שכר דירה  גנים</v>
          </cell>
          <cell r="C331">
            <v>13330</v>
          </cell>
          <cell r="D331">
            <v>0</v>
          </cell>
        </row>
        <row r="332">
          <cell r="A332">
            <v>1812200431</v>
          </cell>
          <cell r="B332" t="str">
            <v>חשמל גנים</v>
          </cell>
          <cell r="C332">
            <v>99130</v>
          </cell>
          <cell r="D332">
            <v>84853.04</v>
          </cell>
        </row>
        <row r="333">
          <cell r="A333">
            <v>1812200450</v>
          </cell>
          <cell r="B333" t="str">
            <v>הוצ" ריהוט</v>
          </cell>
          <cell r="C333">
            <v>0</v>
          </cell>
          <cell r="D333">
            <v>0</v>
          </cell>
        </row>
        <row r="334">
          <cell r="A334">
            <v>1812200650</v>
          </cell>
          <cell r="B334" t="str">
            <v>קייטנת קיץ2017</v>
          </cell>
          <cell r="C334">
            <v>0</v>
          </cell>
          <cell r="D334">
            <v>71784</v>
          </cell>
        </row>
        <row r="335">
          <cell r="A335">
            <v>1812200720</v>
          </cell>
          <cell r="B335" t="str">
            <v>חומרים_-גנים</v>
          </cell>
          <cell r="C335">
            <v>12500</v>
          </cell>
          <cell r="D335">
            <v>-51888</v>
          </cell>
        </row>
        <row r="336">
          <cell r="A336">
            <v>1812200740</v>
          </cell>
          <cell r="B336" t="str">
            <v>משחקים וציוד</v>
          </cell>
          <cell r="C336">
            <v>106620</v>
          </cell>
          <cell r="D336">
            <v>16289</v>
          </cell>
        </row>
        <row r="337">
          <cell r="A337">
            <v>1812200750</v>
          </cell>
          <cell r="B337" t="str">
            <v>עב" קבלניות+חומרים גנים</v>
          </cell>
          <cell r="C337">
            <v>66640</v>
          </cell>
          <cell r="D337">
            <v>16244.37</v>
          </cell>
        </row>
        <row r="338">
          <cell r="A338">
            <v>1812200810</v>
          </cell>
          <cell r="B338" t="str">
            <v>גננות עובדות מדינה</v>
          </cell>
          <cell r="C338">
            <v>1570210</v>
          </cell>
          <cell r="D338">
            <v>1630984.26</v>
          </cell>
        </row>
        <row r="339">
          <cell r="A339">
            <v>1812210810</v>
          </cell>
          <cell r="B339" t="str">
            <v>תכנית ניצנים - גנ"י</v>
          </cell>
          <cell r="C339">
            <v>291550</v>
          </cell>
          <cell r="D339">
            <v>0</v>
          </cell>
        </row>
        <row r="340">
          <cell r="A340">
            <v>1813200110</v>
          </cell>
          <cell r="B340" t="str">
            <v>משכורת ושכ"ע שרתים</v>
          </cell>
          <cell r="C340">
            <v>90800</v>
          </cell>
          <cell r="D340">
            <v>90434.66</v>
          </cell>
        </row>
        <row r="341">
          <cell r="A341">
            <v>1813200420</v>
          </cell>
          <cell r="B341" t="str">
            <v>אחזקת מבני בי"ס</v>
          </cell>
          <cell r="C341">
            <v>32490</v>
          </cell>
          <cell r="D341">
            <v>4601</v>
          </cell>
        </row>
        <row r="342">
          <cell r="A342">
            <v>1813200431</v>
          </cell>
          <cell r="B342" t="str">
            <v>חשמל</v>
          </cell>
          <cell r="C342">
            <v>165770</v>
          </cell>
          <cell r="D342">
            <v>95541.68</v>
          </cell>
        </row>
        <row r="343">
          <cell r="A343">
            <v>1813200432</v>
          </cell>
          <cell r="B343" t="str">
            <v>מים</v>
          </cell>
          <cell r="C343">
            <v>62480</v>
          </cell>
          <cell r="D343">
            <v>24282</v>
          </cell>
        </row>
        <row r="344">
          <cell r="A344">
            <v>1813200433</v>
          </cell>
          <cell r="B344" t="str">
            <v>חומרי ניקיון</v>
          </cell>
          <cell r="C344">
            <v>1670</v>
          </cell>
          <cell r="D344">
            <v>1590</v>
          </cell>
        </row>
        <row r="345">
          <cell r="A345">
            <v>1813200440</v>
          </cell>
          <cell r="B345" t="str">
            <v>ביטוחים</v>
          </cell>
          <cell r="C345">
            <v>124950</v>
          </cell>
          <cell r="D345">
            <v>36828.400000000001</v>
          </cell>
        </row>
        <row r="346">
          <cell r="A346">
            <v>1813200450</v>
          </cell>
          <cell r="B346" t="str">
            <v>ריהוט ואחזקתו</v>
          </cell>
          <cell r="C346">
            <v>7500</v>
          </cell>
          <cell r="D346">
            <v>0</v>
          </cell>
        </row>
        <row r="347">
          <cell r="A347">
            <v>1813200470</v>
          </cell>
          <cell r="B347" t="str">
            <v>ציוד משרדי ומחשבים</v>
          </cell>
          <cell r="C347">
            <v>35820</v>
          </cell>
          <cell r="D347">
            <v>30447</v>
          </cell>
        </row>
        <row r="348">
          <cell r="A348">
            <v>1813200540</v>
          </cell>
          <cell r="B348" t="str">
            <v>טלפון</v>
          </cell>
          <cell r="C348">
            <v>17490</v>
          </cell>
          <cell r="D348">
            <v>28950.81</v>
          </cell>
        </row>
        <row r="349">
          <cell r="A349">
            <v>1813200560</v>
          </cell>
          <cell r="B349" t="str">
            <v>צילומים והדפסות</v>
          </cell>
          <cell r="C349">
            <v>89130</v>
          </cell>
          <cell r="D349">
            <v>17654</v>
          </cell>
        </row>
        <row r="350">
          <cell r="A350">
            <v>1813200720</v>
          </cell>
          <cell r="B350" t="str">
            <v>חומרים- מעבדות בי"ס</v>
          </cell>
          <cell r="C350">
            <v>0</v>
          </cell>
          <cell r="D350">
            <v>0</v>
          </cell>
        </row>
        <row r="351">
          <cell r="A351">
            <v>1813200750</v>
          </cell>
          <cell r="B351" t="str">
            <v>עבודות קבלניות</v>
          </cell>
          <cell r="C351">
            <v>29160</v>
          </cell>
          <cell r="D351">
            <v>-23246</v>
          </cell>
        </row>
        <row r="352">
          <cell r="A352">
            <v>1813200930</v>
          </cell>
          <cell r="B352" t="str">
            <v>ציוד יסודי</v>
          </cell>
          <cell r="C352">
            <v>33320</v>
          </cell>
          <cell r="D352">
            <v>0</v>
          </cell>
        </row>
        <row r="353">
          <cell r="A353">
            <v>1813210110</v>
          </cell>
          <cell r="B353" t="str">
            <v>מזכירים חינוך</v>
          </cell>
          <cell r="C353">
            <v>289880</v>
          </cell>
          <cell r="D353">
            <v>341853.44</v>
          </cell>
        </row>
        <row r="354">
          <cell r="A354">
            <v>1813210470</v>
          </cell>
          <cell r="B354" t="str">
            <v>מחשבים לב"ס</v>
          </cell>
          <cell r="C354">
            <v>0</v>
          </cell>
          <cell r="D354">
            <v>200672</v>
          </cell>
        </row>
        <row r="355">
          <cell r="A355">
            <v>1813210570</v>
          </cell>
          <cell r="B355" t="str">
            <v>ערכאות והדרכות לתלמידים</v>
          </cell>
          <cell r="C355">
            <v>0</v>
          </cell>
          <cell r="D355">
            <v>68150</v>
          </cell>
        </row>
        <row r="356">
          <cell r="A356">
            <v>1813210750</v>
          </cell>
          <cell r="B356" t="str">
            <v>שיפוצים ביתי ספר</v>
          </cell>
          <cell r="C356">
            <v>0</v>
          </cell>
          <cell r="D356">
            <v>33497</v>
          </cell>
        </row>
        <row r="357">
          <cell r="A357">
            <v>1813220110</v>
          </cell>
          <cell r="B357" t="str">
            <v>אחזקה ותקונים ביתי"ס</v>
          </cell>
          <cell r="C357">
            <v>0</v>
          </cell>
          <cell r="D357">
            <v>0</v>
          </cell>
        </row>
        <row r="358">
          <cell r="A358">
            <v>1813300110</v>
          </cell>
          <cell r="B358" t="str">
            <v>סייעות</v>
          </cell>
          <cell r="C358">
            <v>0</v>
          </cell>
          <cell r="D358">
            <v>0</v>
          </cell>
        </row>
        <row r="359">
          <cell r="A359">
            <v>1813300430</v>
          </cell>
          <cell r="B359" t="str">
            <v>ניהול עצמי משופר</v>
          </cell>
          <cell r="C359">
            <v>0</v>
          </cell>
          <cell r="D359">
            <v>130638</v>
          </cell>
        </row>
        <row r="360">
          <cell r="A360">
            <v>1813300780</v>
          </cell>
          <cell r="B360" t="str">
            <v>חינוך מיוחד</v>
          </cell>
          <cell r="C360">
            <v>10000</v>
          </cell>
          <cell r="D360">
            <v>0</v>
          </cell>
        </row>
        <row r="361">
          <cell r="A361">
            <v>1813300810</v>
          </cell>
          <cell r="B361" t="str">
            <v>אגרת תלמיד חוץ</v>
          </cell>
          <cell r="C361">
            <v>334030</v>
          </cell>
          <cell r="D361">
            <v>588039</v>
          </cell>
        </row>
        <row r="362">
          <cell r="A362">
            <v>1813400430</v>
          </cell>
          <cell r="B362" t="str">
            <v>ניהול עצמי אלשאפיעי</v>
          </cell>
          <cell r="C362">
            <v>0</v>
          </cell>
          <cell r="D362">
            <v>61899</v>
          </cell>
        </row>
        <row r="363">
          <cell r="A363">
            <v>1813500430</v>
          </cell>
          <cell r="B363" t="str">
            <v>ניהול עצמי אלפארוק</v>
          </cell>
          <cell r="C363">
            <v>0</v>
          </cell>
          <cell r="D363">
            <v>62945</v>
          </cell>
        </row>
        <row r="364">
          <cell r="A364">
            <v>1813560043</v>
          </cell>
          <cell r="B364" t="str">
            <v>ניהול עצמי אל- סדיק</v>
          </cell>
          <cell r="C364">
            <v>0</v>
          </cell>
          <cell r="D364">
            <v>42932</v>
          </cell>
        </row>
        <row r="365">
          <cell r="A365">
            <v>1813600110</v>
          </cell>
          <cell r="B365" t="str">
            <v>הוצ" משכורת-דוברת</v>
          </cell>
          <cell r="C365">
            <v>0</v>
          </cell>
          <cell r="D365">
            <v>0</v>
          </cell>
        </row>
        <row r="366">
          <cell r="A366">
            <v>1813600750</v>
          </cell>
          <cell r="B366" t="str">
            <v>תוכנית דוברת-הפעלה</v>
          </cell>
          <cell r="C366">
            <v>0</v>
          </cell>
          <cell r="D366">
            <v>0</v>
          </cell>
        </row>
        <row r="367">
          <cell r="A367">
            <v>1813600810</v>
          </cell>
          <cell r="B367" t="str">
            <v>דוברת הסעות</v>
          </cell>
          <cell r="C367">
            <v>0</v>
          </cell>
          <cell r="D367">
            <v>0</v>
          </cell>
        </row>
        <row r="368">
          <cell r="A368">
            <v>1813620810</v>
          </cell>
          <cell r="B368" t="str">
            <v>השתת" בעליות טיולים</v>
          </cell>
          <cell r="C368">
            <v>0</v>
          </cell>
          <cell r="D368">
            <v>0</v>
          </cell>
        </row>
        <row r="369">
          <cell r="A369">
            <v>1813800110</v>
          </cell>
          <cell r="B369" t="str">
            <v>קייטנה זמניים</v>
          </cell>
          <cell r="C369">
            <v>0</v>
          </cell>
          <cell r="D369">
            <v>158994.47</v>
          </cell>
        </row>
        <row r="370">
          <cell r="A370">
            <v>1815100110</v>
          </cell>
          <cell r="B370" t="str">
            <v>משכורת בי"ס על יסודיים</v>
          </cell>
          <cell r="C370">
            <v>624750</v>
          </cell>
          <cell r="D370">
            <v>639626.09</v>
          </cell>
        </row>
        <row r="371">
          <cell r="A371">
            <v>1815200320</v>
          </cell>
          <cell r="B371" t="str">
            <v>הוצ" פיצויים</v>
          </cell>
          <cell r="C371">
            <v>0</v>
          </cell>
          <cell r="D371">
            <v>0</v>
          </cell>
        </row>
        <row r="372">
          <cell r="A372">
            <v>1815200420</v>
          </cell>
          <cell r="B372" t="str">
            <v>אחזקת מבנים</v>
          </cell>
          <cell r="C372">
            <v>39150</v>
          </cell>
          <cell r="D372">
            <v>25043</v>
          </cell>
        </row>
        <row r="373">
          <cell r="A373">
            <v>1815200425</v>
          </cell>
          <cell r="B373" t="str">
            <v>פינות פרטניות עוז לתמורה</v>
          </cell>
          <cell r="C373">
            <v>0</v>
          </cell>
          <cell r="D373">
            <v>0</v>
          </cell>
        </row>
        <row r="374">
          <cell r="A374">
            <v>1815200431</v>
          </cell>
          <cell r="B374" t="str">
            <v>חשמל</v>
          </cell>
          <cell r="C374">
            <v>107460</v>
          </cell>
          <cell r="D374">
            <v>124393.86</v>
          </cell>
        </row>
        <row r="375">
          <cell r="A375">
            <v>1815200432</v>
          </cell>
          <cell r="B375" t="str">
            <v>מים</v>
          </cell>
          <cell r="C375">
            <v>45820</v>
          </cell>
          <cell r="D375">
            <v>34091.1</v>
          </cell>
        </row>
        <row r="376">
          <cell r="A376">
            <v>1815200433</v>
          </cell>
          <cell r="B376" t="str">
            <v>חומרי נקיון</v>
          </cell>
          <cell r="C376">
            <v>23320</v>
          </cell>
          <cell r="D376">
            <v>21534</v>
          </cell>
        </row>
        <row r="377">
          <cell r="A377">
            <v>1815200440</v>
          </cell>
          <cell r="B377" t="str">
            <v>ביטוחים</v>
          </cell>
          <cell r="C377">
            <v>0</v>
          </cell>
          <cell r="D377">
            <v>0</v>
          </cell>
        </row>
        <row r="378">
          <cell r="A378">
            <v>1815200450</v>
          </cell>
          <cell r="B378" t="str">
            <v>ריהוט ואחזקתו</v>
          </cell>
          <cell r="C378">
            <v>10000</v>
          </cell>
          <cell r="D378">
            <v>-4861.6400000000003</v>
          </cell>
        </row>
        <row r="379">
          <cell r="A379">
            <v>1815200470</v>
          </cell>
          <cell r="B379" t="str">
            <v>ציוד משרדי</v>
          </cell>
          <cell r="C379">
            <v>30820</v>
          </cell>
          <cell r="D379">
            <v>71539</v>
          </cell>
        </row>
        <row r="380">
          <cell r="A380">
            <v>1815200510</v>
          </cell>
          <cell r="B380" t="str">
            <v>דמי שתיה ועד עובדים</v>
          </cell>
          <cell r="C380">
            <v>8330</v>
          </cell>
          <cell r="D380">
            <v>0</v>
          </cell>
        </row>
        <row r="381">
          <cell r="A381">
            <v>1815200522</v>
          </cell>
          <cell r="B381" t="str">
            <v>ספרות מקצועית</v>
          </cell>
          <cell r="C381">
            <v>0</v>
          </cell>
          <cell r="D381">
            <v>0</v>
          </cell>
        </row>
        <row r="382">
          <cell r="A382">
            <v>1815200540</v>
          </cell>
          <cell r="B382" t="str">
            <v>טלפון</v>
          </cell>
          <cell r="C382">
            <v>17490</v>
          </cell>
          <cell r="D382">
            <v>0</v>
          </cell>
        </row>
        <row r="383">
          <cell r="A383">
            <v>1815200560</v>
          </cell>
          <cell r="B383" t="str">
            <v>צילומים והדפסות</v>
          </cell>
          <cell r="C383">
            <v>66640</v>
          </cell>
          <cell r="D383">
            <v>36083</v>
          </cell>
        </row>
        <row r="384">
          <cell r="A384">
            <v>1815200570</v>
          </cell>
          <cell r="B384" t="str">
            <v>אומניות העיצוב</v>
          </cell>
          <cell r="C384">
            <v>25820</v>
          </cell>
          <cell r="D384">
            <v>15210</v>
          </cell>
        </row>
        <row r="385">
          <cell r="A385">
            <v>1815200580</v>
          </cell>
          <cell r="B385" t="str">
            <v>פרוייקט תעשיה ומדע</v>
          </cell>
          <cell r="C385">
            <v>55810</v>
          </cell>
          <cell r="D385">
            <v>77850</v>
          </cell>
        </row>
        <row r="386">
          <cell r="A386">
            <v>1815200650</v>
          </cell>
          <cell r="B386" t="str">
            <v>פרוייקטים קהילתיים</v>
          </cell>
          <cell r="C386">
            <v>0</v>
          </cell>
          <cell r="D386">
            <v>0</v>
          </cell>
        </row>
        <row r="387">
          <cell r="A387">
            <v>1815200720</v>
          </cell>
          <cell r="B387" t="str">
            <v>מעבדות טכנולגיות</v>
          </cell>
          <cell r="C387">
            <v>0</v>
          </cell>
          <cell r="D387">
            <v>48933</v>
          </cell>
        </row>
        <row r="388">
          <cell r="A388">
            <v>1815200730</v>
          </cell>
          <cell r="B388" t="str">
            <v>מעבדת מכטרוניקה</v>
          </cell>
          <cell r="C388">
            <v>0</v>
          </cell>
          <cell r="D388">
            <v>41919.9</v>
          </cell>
        </row>
        <row r="389">
          <cell r="A389">
            <v>1815200750</v>
          </cell>
          <cell r="B389" t="str">
            <v>שפוצים בי"ס ובטיחות</v>
          </cell>
          <cell r="C389">
            <v>73300</v>
          </cell>
          <cell r="D389">
            <v>0</v>
          </cell>
        </row>
        <row r="390">
          <cell r="A390">
            <v>1815200780</v>
          </cell>
          <cell r="B390" t="str">
            <v>הסעות ושונות</v>
          </cell>
          <cell r="C390">
            <v>10000</v>
          </cell>
          <cell r="D390">
            <v>13982</v>
          </cell>
        </row>
        <row r="391">
          <cell r="A391">
            <v>1815200790</v>
          </cell>
          <cell r="B391" t="str">
            <v>תוכנית הדו"מ -הדרכת הורים</v>
          </cell>
          <cell r="C391">
            <v>0</v>
          </cell>
          <cell r="D391">
            <v>0</v>
          </cell>
        </row>
        <row r="392">
          <cell r="A392">
            <v>1815200800</v>
          </cell>
          <cell r="B392" t="str">
            <v>הרצאות ופעולות תרבות</v>
          </cell>
          <cell r="C392">
            <v>0</v>
          </cell>
          <cell r="D392">
            <v>19040</v>
          </cell>
        </row>
        <row r="393">
          <cell r="A393">
            <v>1815200810</v>
          </cell>
          <cell r="B393" t="str">
            <v>מניעת שימוש בסמים</v>
          </cell>
          <cell r="C393">
            <v>4170</v>
          </cell>
          <cell r="D393">
            <v>5500</v>
          </cell>
        </row>
        <row r="394">
          <cell r="A394">
            <v>1815200850</v>
          </cell>
          <cell r="B394" t="str">
            <v>קשרים בינלאומיים</v>
          </cell>
          <cell r="C394">
            <v>0</v>
          </cell>
          <cell r="D394">
            <v>0</v>
          </cell>
        </row>
        <row r="395">
          <cell r="A395">
            <v>1815200930</v>
          </cell>
          <cell r="B395" t="str">
            <v>ציוד יסודי</v>
          </cell>
          <cell r="C395">
            <v>3330</v>
          </cell>
          <cell r="D395">
            <v>0</v>
          </cell>
        </row>
        <row r="396">
          <cell r="A396">
            <v>1815210580</v>
          </cell>
          <cell r="B396" t="str">
            <v>מחשב לכל ילד</v>
          </cell>
          <cell r="C396">
            <v>4170</v>
          </cell>
          <cell r="D396">
            <v>0</v>
          </cell>
        </row>
        <row r="397">
          <cell r="A397">
            <v>1815210720</v>
          </cell>
          <cell r="B397" t="str">
            <v>מעבדה</v>
          </cell>
          <cell r="C397">
            <v>0</v>
          </cell>
          <cell r="D397">
            <v>1600</v>
          </cell>
        </row>
        <row r="398">
          <cell r="A398">
            <v>1815210930</v>
          </cell>
          <cell r="B398" t="str">
            <v>ציוד חדר טכנולוגיה</v>
          </cell>
          <cell r="C398">
            <v>13330</v>
          </cell>
          <cell r="D398">
            <v>0</v>
          </cell>
        </row>
        <row r="399">
          <cell r="A399">
            <v>1815211930</v>
          </cell>
          <cell r="B399" t="str">
            <v>הוצאות תחזוקה והפעלה של מעבדות</v>
          </cell>
          <cell r="C399">
            <v>0</v>
          </cell>
          <cell r="D399">
            <v>0</v>
          </cell>
        </row>
        <row r="400">
          <cell r="A400">
            <v>1815212930</v>
          </cell>
          <cell r="B400" t="str">
            <v>הוצאות פעולות תרבות וחברה תיכו</v>
          </cell>
          <cell r="C400">
            <v>0</v>
          </cell>
          <cell r="D400">
            <v>2106</v>
          </cell>
        </row>
        <row r="401">
          <cell r="A401">
            <v>1815300431</v>
          </cell>
          <cell r="B401" t="str">
            <v>חשמל מקיף גבעה</v>
          </cell>
          <cell r="C401">
            <v>61640</v>
          </cell>
          <cell r="D401">
            <v>73944.759999999995</v>
          </cell>
        </row>
        <row r="402">
          <cell r="A402">
            <v>1815700110</v>
          </cell>
          <cell r="B402" t="str">
            <v>משכורת מקיף פרדיס</v>
          </cell>
          <cell r="C402">
            <v>8051780</v>
          </cell>
          <cell r="D402">
            <v>7577252.8799999999</v>
          </cell>
        </row>
        <row r="403">
          <cell r="A403">
            <v>1815700312</v>
          </cell>
          <cell r="B403" t="str">
            <v>ע"ח מבטחים</v>
          </cell>
          <cell r="C403">
            <v>0</v>
          </cell>
          <cell r="D403">
            <v>0</v>
          </cell>
        </row>
        <row r="404">
          <cell r="A404">
            <v>1815710432</v>
          </cell>
          <cell r="B404" t="str">
            <v>מטרות  ציל"ה</v>
          </cell>
          <cell r="C404">
            <v>0</v>
          </cell>
          <cell r="D404">
            <v>440000</v>
          </cell>
        </row>
        <row r="405">
          <cell r="A405">
            <v>1815710810</v>
          </cell>
          <cell r="B405" t="str">
            <v>סייעות ציל"ה</v>
          </cell>
          <cell r="C405">
            <v>0</v>
          </cell>
          <cell r="D405">
            <v>0</v>
          </cell>
        </row>
        <row r="406">
          <cell r="A406">
            <v>1815800110</v>
          </cell>
          <cell r="B406" t="str">
            <v>משכורת תיכון גבעה חדש</v>
          </cell>
          <cell r="C406">
            <v>2700590</v>
          </cell>
          <cell r="D406">
            <v>4232146.43</v>
          </cell>
        </row>
        <row r="407">
          <cell r="A407">
            <v>1817000110</v>
          </cell>
          <cell r="B407" t="str">
            <v>הוצ משכורת</v>
          </cell>
          <cell r="C407">
            <v>1137050</v>
          </cell>
          <cell r="D407">
            <v>1280309.97</v>
          </cell>
        </row>
        <row r="408">
          <cell r="A408">
            <v>1817000460</v>
          </cell>
          <cell r="B408" t="str">
            <v>ריהוט וציוד לחינוך מיוחד</v>
          </cell>
          <cell r="C408">
            <v>4170</v>
          </cell>
          <cell r="D408">
            <v>1501</v>
          </cell>
        </row>
        <row r="409">
          <cell r="A409">
            <v>1817000470</v>
          </cell>
          <cell r="B409" t="str">
            <v>ציוד משרדי ומשחקים</v>
          </cell>
          <cell r="C409">
            <v>7500</v>
          </cell>
          <cell r="D409">
            <v>127</v>
          </cell>
        </row>
        <row r="410">
          <cell r="A410">
            <v>1817100750</v>
          </cell>
          <cell r="B410" t="str">
            <v>שמירה ובטחון מוסדות חינוך</v>
          </cell>
          <cell r="C410">
            <v>882980</v>
          </cell>
          <cell r="D410">
            <v>547539.55000000005</v>
          </cell>
        </row>
        <row r="411">
          <cell r="A411">
            <v>1817300110</v>
          </cell>
          <cell r="B411" t="str">
            <v>משכורות</v>
          </cell>
          <cell r="C411">
            <v>608090</v>
          </cell>
          <cell r="D411">
            <v>527083.56000000006</v>
          </cell>
        </row>
        <row r="412">
          <cell r="A412">
            <v>1817300410</v>
          </cell>
          <cell r="B412" t="str">
            <v>שכ"ד פסיכולוגי</v>
          </cell>
          <cell r="C412">
            <v>19990</v>
          </cell>
          <cell r="D412">
            <v>24000</v>
          </cell>
        </row>
        <row r="413">
          <cell r="A413">
            <v>1817300540</v>
          </cell>
          <cell r="B413" t="str">
            <v>טלפון פסיכולוגים</v>
          </cell>
          <cell r="C413">
            <v>0</v>
          </cell>
          <cell r="D413">
            <v>7472.62</v>
          </cell>
        </row>
        <row r="414">
          <cell r="A414">
            <v>1817300750</v>
          </cell>
          <cell r="B414" t="str">
            <v>שירות פסעכולוגי</v>
          </cell>
          <cell r="C414">
            <v>0</v>
          </cell>
          <cell r="D414">
            <v>0</v>
          </cell>
        </row>
        <row r="415">
          <cell r="A415">
            <v>1817300810</v>
          </cell>
          <cell r="B415" t="str">
            <v>שרות פסיכולוגי השת</v>
          </cell>
          <cell r="C415">
            <v>59140</v>
          </cell>
          <cell r="D415">
            <v>16800</v>
          </cell>
        </row>
        <row r="416">
          <cell r="A416">
            <v>1817400720</v>
          </cell>
          <cell r="B416" t="str">
            <v>חומרים מרפאת שניים</v>
          </cell>
          <cell r="C416">
            <v>0</v>
          </cell>
          <cell r="D416">
            <v>0</v>
          </cell>
        </row>
        <row r="417">
          <cell r="A417">
            <v>1817410110</v>
          </cell>
          <cell r="B417" t="str">
            <v>שרותי בריאות בי:ס שניים</v>
          </cell>
          <cell r="C417">
            <v>0</v>
          </cell>
          <cell r="D417">
            <v>0</v>
          </cell>
        </row>
        <row r="418">
          <cell r="A418">
            <v>1817700110</v>
          </cell>
          <cell r="B418" t="str">
            <v>משכורת    כוללת</v>
          </cell>
          <cell r="C418">
            <v>249070</v>
          </cell>
          <cell r="D418">
            <v>167643.94</v>
          </cell>
        </row>
        <row r="419">
          <cell r="A419">
            <v>1817700810</v>
          </cell>
          <cell r="B419" t="str">
            <v>פר"ח</v>
          </cell>
          <cell r="C419">
            <v>26660</v>
          </cell>
          <cell r="D419">
            <v>24800</v>
          </cell>
        </row>
        <row r="420">
          <cell r="A420">
            <v>1817710750</v>
          </cell>
          <cell r="B420" t="str">
            <v>מנ"ע -  מניעת נשירה מבי"ס</v>
          </cell>
          <cell r="C420">
            <v>0</v>
          </cell>
          <cell r="D420">
            <v>8951</v>
          </cell>
        </row>
        <row r="421">
          <cell r="A421">
            <v>1817720920</v>
          </cell>
          <cell r="B421" t="str">
            <v>מילוי מקום מוסדות</v>
          </cell>
          <cell r="C421">
            <v>0</v>
          </cell>
          <cell r="D421">
            <v>0</v>
          </cell>
        </row>
        <row r="422">
          <cell r="A422">
            <v>1817800710</v>
          </cell>
          <cell r="B422" t="str">
            <v>הסעות-חיונוך מיוחד</v>
          </cell>
          <cell r="C422">
            <v>1327800</v>
          </cell>
          <cell r="D422">
            <v>1397367.78</v>
          </cell>
        </row>
        <row r="423">
          <cell r="A423">
            <v>1817800711</v>
          </cell>
          <cell r="B423" t="str">
            <v>ליווי חינוך מיוחד</v>
          </cell>
          <cell r="C423">
            <v>173260</v>
          </cell>
          <cell r="D423">
            <v>0</v>
          </cell>
        </row>
        <row r="424">
          <cell r="A424">
            <v>1817800810</v>
          </cell>
          <cell r="B424" t="str">
            <v>ליווי חינוך מיוחד</v>
          </cell>
          <cell r="C424">
            <v>0</v>
          </cell>
          <cell r="D424">
            <v>0</v>
          </cell>
        </row>
        <row r="425">
          <cell r="A425">
            <v>1817830710</v>
          </cell>
          <cell r="B425" t="str">
            <v>ליווי חינוך מיוחד</v>
          </cell>
          <cell r="C425">
            <v>0</v>
          </cell>
          <cell r="D425">
            <v>0</v>
          </cell>
        </row>
        <row r="426">
          <cell r="A426">
            <v>1817840710</v>
          </cell>
          <cell r="B426" t="str">
            <v>שמירה למוסדות חינוך</v>
          </cell>
          <cell r="C426">
            <v>0</v>
          </cell>
          <cell r="D426">
            <v>0</v>
          </cell>
        </row>
        <row r="427">
          <cell r="A427">
            <v>1817880810</v>
          </cell>
          <cell r="B427" t="str">
            <v>שירות בריאותי</v>
          </cell>
          <cell r="C427">
            <v>0</v>
          </cell>
          <cell r="D427">
            <v>0</v>
          </cell>
        </row>
        <row r="428">
          <cell r="A428">
            <v>1817900750</v>
          </cell>
          <cell r="B428" t="str">
            <v>אספקת עובדים למוסדות</v>
          </cell>
          <cell r="C428">
            <v>505210</v>
          </cell>
          <cell r="D428">
            <v>1771153.62</v>
          </cell>
        </row>
        <row r="429">
          <cell r="A429">
            <v>1817900810</v>
          </cell>
          <cell r="B429" t="str">
            <v>אספקת עובדים למוסדות</v>
          </cell>
          <cell r="C429">
            <v>505210</v>
          </cell>
          <cell r="D429">
            <v>195882</v>
          </cell>
        </row>
        <row r="430">
          <cell r="A430">
            <v>1817900850</v>
          </cell>
          <cell r="B430" t="str">
            <v>מלגות סטודינטים</v>
          </cell>
          <cell r="C430">
            <v>0</v>
          </cell>
          <cell r="D430">
            <v>0</v>
          </cell>
        </row>
        <row r="431">
          <cell r="A431">
            <v>1818000110</v>
          </cell>
          <cell r="B431" t="str">
            <v>הוצ משכורת</v>
          </cell>
          <cell r="C431">
            <v>0</v>
          </cell>
          <cell r="D431">
            <v>0</v>
          </cell>
        </row>
        <row r="432">
          <cell r="A432">
            <v>1821000110</v>
          </cell>
          <cell r="B432" t="str">
            <v>משכורות ושכ"ע</v>
          </cell>
          <cell r="C432">
            <v>755530</v>
          </cell>
          <cell r="D432">
            <v>747560.88</v>
          </cell>
        </row>
        <row r="433">
          <cell r="A433">
            <v>1822000510</v>
          </cell>
          <cell r="B433" t="str">
            <v>מזון</v>
          </cell>
          <cell r="C433">
            <v>151610</v>
          </cell>
          <cell r="D433">
            <v>70246.720000000001</v>
          </cell>
        </row>
        <row r="434">
          <cell r="A434">
            <v>1822000650</v>
          </cell>
          <cell r="B434" t="str">
            <v>קייטנות</v>
          </cell>
          <cell r="C434">
            <v>0</v>
          </cell>
          <cell r="D434">
            <v>486208.53</v>
          </cell>
        </row>
        <row r="435">
          <cell r="A435">
            <v>1822000750</v>
          </cell>
          <cell r="B435" t="str">
            <v>אחזקת שוטפת</v>
          </cell>
          <cell r="C435">
            <v>0</v>
          </cell>
          <cell r="D435">
            <v>0</v>
          </cell>
        </row>
        <row r="436">
          <cell r="A436">
            <v>1822000810</v>
          </cell>
          <cell r="B436" t="str">
            <v>מעדניות</v>
          </cell>
          <cell r="C436">
            <v>0</v>
          </cell>
          <cell r="D436">
            <v>77508</v>
          </cell>
        </row>
        <row r="437">
          <cell r="A437">
            <v>1822000930</v>
          </cell>
          <cell r="B437" t="str">
            <v>ציוד יסודי</v>
          </cell>
          <cell r="C437">
            <v>0</v>
          </cell>
          <cell r="D437">
            <v>0</v>
          </cell>
        </row>
        <row r="438">
          <cell r="A438">
            <v>1823000110</v>
          </cell>
          <cell r="B438" t="str">
            <v>משכורת</v>
          </cell>
          <cell r="C438">
            <v>0</v>
          </cell>
          <cell r="D438">
            <v>0</v>
          </cell>
        </row>
        <row r="439">
          <cell r="A439">
            <v>1823000431</v>
          </cell>
          <cell r="B439" t="str">
            <v>חשמל ספריה צבורית</v>
          </cell>
          <cell r="C439">
            <v>10830</v>
          </cell>
          <cell r="D439">
            <v>8960.73</v>
          </cell>
        </row>
        <row r="440">
          <cell r="A440">
            <v>1823000560</v>
          </cell>
          <cell r="B440" t="str">
            <v>משרדיות</v>
          </cell>
          <cell r="C440">
            <v>8330</v>
          </cell>
          <cell r="D440">
            <v>5160</v>
          </cell>
        </row>
        <row r="441">
          <cell r="A441">
            <v>1823000750</v>
          </cell>
          <cell r="B441" t="str">
            <v>ספריה ציבורית אחזקה</v>
          </cell>
          <cell r="C441">
            <v>0</v>
          </cell>
          <cell r="D441">
            <v>23925.7</v>
          </cell>
        </row>
        <row r="442">
          <cell r="A442">
            <v>1823000930</v>
          </cell>
          <cell r="B442" t="str">
            <v>ספריה צבורית ציוד יסודי</v>
          </cell>
          <cell r="C442">
            <v>0</v>
          </cell>
          <cell r="D442">
            <v>0</v>
          </cell>
        </row>
        <row r="443">
          <cell r="A443">
            <v>1824000780</v>
          </cell>
          <cell r="B443" t="str">
            <v>שונות</v>
          </cell>
          <cell r="C443">
            <v>0</v>
          </cell>
          <cell r="D443">
            <v>0</v>
          </cell>
        </row>
        <row r="444">
          <cell r="A444">
            <v>1828000110</v>
          </cell>
          <cell r="B444" t="str">
            <v>הוצ משכורת</v>
          </cell>
          <cell r="C444">
            <v>112460</v>
          </cell>
          <cell r="D444">
            <v>130966.46</v>
          </cell>
        </row>
        <row r="445">
          <cell r="A445">
            <v>1828100110</v>
          </cell>
          <cell r="B445" t="str">
            <v>טיפול בנוער בסיכון</v>
          </cell>
          <cell r="C445">
            <v>204090</v>
          </cell>
          <cell r="D445">
            <v>187045.84</v>
          </cell>
        </row>
        <row r="446">
          <cell r="A446">
            <v>1828100750</v>
          </cell>
          <cell r="B446" t="str">
            <v>פעולות נוער בסיכון</v>
          </cell>
          <cell r="C446">
            <v>0</v>
          </cell>
          <cell r="D446">
            <v>42925</v>
          </cell>
        </row>
        <row r="447">
          <cell r="A447">
            <v>1828200110</v>
          </cell>
          <cell r="B447" t="str">
            <v>משכורת יחדת קידום נוער</v>
          </cell>
          <cell r="C447">
            <v>286550</v>
          </cell>
          <cell r="D447">
            <v>253588.81</v>
          </cell>
        </row>
        <row r="448">
          <cell r="A448">
            <v>1828200810</v>
          </cell>
          <cell r="B448" t="str">
            <v>מוקדי הפעלת בית נוער</v>
          </cell>
          <cell r="C448">
            <v>14160</v>
          </cell>
          <cell r="D448">
            <v>8945</v>
          </cell>
        </row>
        <row r="449">
          <cell r="A449">
            <v>1828210110</v>
          </cell>
          <cell r="B449" t="str">
            <v>שכר מנהל תכנית עיר ללא אלימות</v>
          </cell>
          <cell r="C449">
            <v>84130</v>
          </cell>
          <cell r="D449">
            <v>74694.78</v>
          </cell>
        </row>
        <row r="450">
          <cell r="A450">
            <v>1828210810</v>
          </cell>
          <cell r="B450" t="str">
            <v>תוכנית עיר ללא אלימות</v>
          </cell>
          <cell r="C450">
            <v>87470</v>
          </cell>
          <cell r="D450">
            <v>255291</v>
          </cell>
        </row>
        <row r="451">
          <cell r="A451">
            <v>1828220650</v>
          </cell>
          <cell r="B451" t="str">
            <v>פרוייקט מעשים טובים</v>
          </cell>
          <cell r="C451">
            <v>0</v>
          </cell>
          <cell r="D451">
            <v>3021.09</v>
          </cell>
        </row>
        <row r="452">
          <cell r="A452">
            <v>1828220810</v>
          </cell>
          <cell r="B452" t="str">
            <v>חינוך בלתי פורמאלי</v>
          </cell>
          <cell r="C452">
            <v>0</v>
          </cell>
          <cell r="D452">
            <v>-100000</v>
          </cell>
        </row>
        <row r="453">
          <cell r="A453">
            <v>1828226110</v>
          </cell>
          <cell r="B453" t="str">
            <v>אתגרים פעילויות</v>
          </cell>
          <cell r="C453">
            <v>0</v>
          </cell>
          <cell r="D453">
            <v>66531.06</v>
          </cell>
        </row>
        <row r="454">
          <cell r="A454">
            <v>1828310810</v>
          </cell>
          <cell r="B454" t="str">
            <v>מלגות לסטודנטים</v>
          </cell>
          <cell r="C454">
            <v>249900</v>
          </cell>
          <cell r="D454">
            <v>357000</v>
          </cell>
        </row>
        <row r="455">
          <cell r="A455">
            <v>1828410810</v>
          </cell>
          <cell r="B455" t="str">
            <v>מחשב לכל ילד</v>
          </cell>
          <cell r="C455">
            <v>55810</v>
          </cell>
          <cell r="D455">
            <v>34719</v>
          </cell>
        </row>
        <row r="456">
          <cell r="A456">
            <v>1829000110</v>
          </cell>
          <cell r="B456" t="str">
            <v>הוצ משכורת</v>
          </cell>
          <cell r="C456">
            <v>272390</v>
          </cell>
          <cell r="D456">
            <v>186106.87</v>
          </cell>
        </row>
        <row r="457">
          <cell r="A457">
            <v>1829000540</v>
          </cell>
          <cell r="B457" t="str">
            <v>הוצ" תקשורת</v>
          </cell>
          <cell r="C457">
            <v>0</v>
          </cell>
          <cell r="D457">
            <v>0</v>
          </cell>
        </row>
        <row r="458">
          <cell r="A458">
            <v>1829100432</v>
          </cell>
          <cell r="B458" t="str">
            <v>הוצ" מים מגרש</v>
          </cell>
          <cell r="C458">
            <v>0</v>
          </cell>
          <cell r="D458">
            <v>133290.70000000001</v>
          </cell>
        </row>
        <row r="459">
          <cell r="A459">
            <v>1829100740</v>
          </cell>
          <cell r="B459" t="str">
            <v>אביזרי עזר למגרש</v>
          </cell>
          <cell r="C459">
            <v>0</v>
          </cell>
          <cell r="D459">
            <v>0</v>
          </cell>
        </row>
        <row r="460">
          <cell r="A460">
            <v>1829100750</v>
          </cell>
          <cell r="B460" t="str">
            <v>מתקני ספורט ומגרש</v>
          </cell>
          <cell r="C460">
            <v>118290</v>
          </cell>
          <cell r="D460">
            <v>87893</v>
          </cell>
        </row>
        <row r="461">
          <cell r="A461">
            <v>1829100780</v>
          </cell>
          <cell r="B461" t="str">
            <v>הסעות ספורט</v>
          </cell>
          <cell r="C461">
            <v>0</v>
          </cell>
          <cell r="D461">
            <v>0</v>
          </cell>
        </row>
        <row r="462">
          <cell r="A462">
            <v>1829100810</v>
          </cell>
          <cell r="B462" t="str">
            <v>תמיכות באגודות ספורט</v>
          </cell>
          <cell r="C462">
            <v>249900</v>
          </cell>
          <cell r="D462">
            <v>225000</v>
          </cell>
        </row>
        <row r="463">
          <cell r="A463">
            <v>1829100910</v>
          </cell>
          <cell r="B463" t="str">
            <v>אולם ספואט השת" לתב"ר</v>
          </cell>
          <cell r="C463">
            <v>0</v>
          </cell>
          <cell r="D463">
            <v>0</v>
          </cell>
        </row>
        <row r="464">
          <cell r="A464">
            <v>1829100930</v>
          </cell>
          <cell r="B464" t="str">
            <v>ציודומתקנים ספורט</v>
          </cell>
          <cell r="C464">
            <v>33320</v>
          </cell>
          <cell r="D464">
            <v>8661</v>
          </cell>
        </row>
        <row r="465">
          <cell r="A465">
            <v>1829200110</v>
          </cell>
          <cell r="B465" t="str">
            <v>אחזקת מתקני ספורט</v>
          </cell>
          <cell r="C465">
            <v>0</v>
          </cell>
          <cell r="D465">
            <v>0</v>
          </cell>
        </row>
        <row r="466">
          <cell r="A466">
            <v>1829200431</v>
          </cell>
          <cell r="B466" t="str">
            <v>חשמל אולם ספורט</v>
          </cell>
          <cell r="C466">
            <v>5000</v>
          </cell>
          <cell r="D466">
            <v>0</v>
          </cell>
        </row>
        <row r="467">
          <cell r="A467">
            <v>1829200521</v>
          </cell>
          <cell r="B467" t="str">
            <v>השתלמות מנהלי ספורט</v>
          </cell>
          <cell r="C467">
            <v>1670</v>
          </cell>
          <cell r="D467">
            <v>0</v>
          </cell>
        </row>
        <row r="468">
          <cell r="A468">
            <v>1829300740</v>
          </cell>
          <cell r="B468" t="str">
            <v>ציוד למגרש</v>
          </cell>
          <cell r="C468">
            <v>0</v>
          </cell>
          <cell r="D468">
            <v>0</v>
          </cell>
        </row>
        <row r="469">
          <cell r="A469">
            <v>1829300810</v>
          </cell>
          <cell r="B469" t="str">
            <v>פעולות     ספורט</v>
          </cell>
          <cell r="C469">
            <v>19990</v>
          </cell>
          <cell r="D469">
            <v>0</v>
          </cell>
        </row>
        <row r="470">
          <cell r="A470">
            <v>1832400110</v>
          </cell>
          <cell r="B470" t="str">
            <v>משכורות ט.חלב</v>
          </cell>
          <cell r="C470">
            <v>54980</v>
          </cell>
          <cell r="D470">
            <v>51505.04</v>
          </cell>
        </row>
        <row r="471">
          <cell r="A471">
            <v>1832400420</v>
          </cell>
          <cell r="B471" t="str">
            <v>מרפאת שיניים</v>
          </cell>
          <cell r="C471">
            <v>0</v>
          </cell>
          <cell r="D471">
            <v>0</v>
          </cell>
        </row>
        <row r="472">
          <cell r="A472">
            <v>1832400431</v>
          </cell>
          <cell r="B472" t="str">
            <v>חשמל אם וילד</v>
          </cell>
          <cell r="C472">
            <v>10830</v>
          </cell>
          <cell r="D472">
            <v>5487.61</v>
          </cell>
        </row>
        <row r="473">
          <cell r="A473">
            <v>1832400540</v>
          </cell>
          <cell r="B473" t="str">
            <v>טלפון לתחנת ב.השן</v>
          </cell>
          <cell r="C473">
            <v>0</v>
          </cell>
          <cell r="D473">
            <v>6390.44</v>
          </cell>
        </row>
        <row r="474">
          <cell r="A474">
            <v>1832400780</v>
          </cell>
          <cell r="B474" t="str">
            <v>טיפת חלב</v>
          </cell>
          <cell r="C474">
            <v>0</v>
          </cell>
          <cell r="D474">
            <v>0</v>
          </cell>
        </row>
        <row r="475">
          <cell r="A475">
            <v>1832400930</v>
          </cell>
          <cell r="B475" t="str">
            <v>ציוד יסודי</v>
          </cell>
          <cell r="C475">
            <v>0</v>
          </cell>
          <cell r="D475">
            <v>0</v>
          </cell>
        </row>
        <row r="476">
          <cell r="A476">
            <v>1832400950</v>
          </cell>
          <cell r="B476" t="str">
            <v>תכנון מרכז _ת.בריאות ומשפ</v>
          </cell>
          <cell r="C476">
            <v>0</v>
          </cell>
          <cell r="D476">
            <v>0</v>
          </cell>
        </row>
        <row r="477">
          <cell r="A477">
            <v>1836200810</v>
          </cell>
          <cell r="B477" t="str">
            <v>נט"ן השתתפות</v>
          </cell>
          <cell r="C477">
            <v>28320</v>
          </cell>
          <cell r="D477">
            <v>25900.5</v>
          </cell>
        </row>
        <row r="478">
          <cell r="A478">
            <v>1841000110</v>
          </cell>
          <cell r="B478" t="str">
            <v>משכורת</v>
          </cell>
          <cell r="C478">
            <v>0</v>
          </cell>
          <cell r="D478">
            <v>0</v>
          </cell>
        </row>
        <row r="479">
          <cell r="A479">
            <v>1841000420</v>
          </cell>
          <cell r="B479" t="str">
            <v>אחזקת מבני רווחה</v>
          </cell>
          <cell r="C479">
            <v>11660</v>
          </cell>
          <cell r="D479">
            <v>31474</v>
          </cell>
        </row>
        <row r="480">
          <cell r="A480">
            <v>1841000430</v>
          </cell>
          <cell r="B480" t="str">
            <v>פעיליות בית זקנים</v>
          </cell>
          <cell r="C480">
            <v>35820</v>
          </cell>
          <cell r="D480">
            <v>5000</v>
          </cell>
        </row>
        <row r="481">
          <cell r="A481">
            <v>1841000521</v>
          </cell>
          <cell r="B481" t="str">
            <v>השתלמיות</v>
          </cell>
          <cell r="C481">
            <v>0</v>
          </cell>
          <cell r="D481">
            <v>1700</v>
          </cell>
        </row>
        <row r="482">
          <cell r="A482">
            <v>1841000560</v>
          </cell>
          <cell r="B482" t="str">
            <v>משרדיות רווחה</v>
          </cell>
          <cell r="C482">
            <v>7500</v>
          </cell>
          <cell r="D482">
            <v>5425</v>
          </cell>
        </row>
        <row r="483">
          <cell r="A483">
            <v>1841000750</v>
          </cell>
          <cell r="B483" t="str">
            <v>שיפוצים משרדי רווחה</v>
          </cell>
          <cell r="C483">
            <v>0</v>
          </cell>
          <cell r="D483">
            <v>0</v>
          </cell>
        </row>
        <row r="484">
          <cell r="A484">
            <v>1841000760</v>
          </cell>
          <cell r="B484" t="str">
            <v>מרכז עוצמה -יעוץ לעובדי רווחה</v>
          </cell>
          <cell r="C484">
            <v>31650</v>
          </cell>
          <cell r="D484">
            <v>5000</v>
          </cell>
        </row>
        <row r="485">
          <cell r="A485">
            <v>1841000770</v>
          </cell>
          <cell r="B485" t="str">
            <v>סדנאות לנוער וצעירים ברווחה</v>
          </cell>
          <cell r="C485">
            <v>26660</v>
          </cell>
          <cell r="D485">
            <v>39646</v>
          </cell>
        </row>
        <row r="486">
          <cell r="A486">
            <v>1841000780</v>
          </cell>
          <cell r="B486" t="str">
            <v>שונות</v>
          </cell>
          <cell r="C486">
            <v>0</v>
          </cell>
          <cell r="D486">
            <v>0</v>
          </cell>
        </row>
        <row r="487">
          <cell r="A487">
            <v>1841100810</v>
          </cell>
          <cell r="B487" t="str">
            <v>הו"ארגוניות</v>
          </cell>
          <cell r="C487">
            <v>0</v>
          </cell>
          <cell r="D487">
            <v>0</v>
          </cell>
        </row>
        <row r="488">
          <cell r="A488">
            <v>1841200810</v>
          </cell>
          <cell r="B488" t="str">
            <v>הסעות רווחה</v>
          </cell>
          <cell r="C488">
            <v>67470</v>
          </cell>
          <cell r="D488">
            <v>26442</v>
          </cell>
        </row>
        <row r="489">
          <cell r="A489">
            <v>1842000110</v>
          </cell>
          <cell r="B489" t="str">
            <v>משכורות רווחה</v>
          </cell>
          <cell r="C489">
            <v>1479410</v>
          </cell>
          <cell r="D489">
            <v>1462389.21</v>
          </cell>
        </row>
        <row r="490">
          <cell r="A490">
            <v>1842000540</v>
          </cell>
          <cell r="B490" t="str">
            <v>טלפון לשכת רווחה</v>
          </cell>
          <cell r="C490">
            <v>11660</v>
          </cell>
          <cell r="D490">
            <v>11076.94</v>
          </cell>
        </row>
        <row r="491">
          <cell r="A491">
            <v>1842200840</v>
          </cell>
          <cell r="B491" t="str">
            <v>משפחות במצוקה קהילתית</v>
          </cell>
          <cell r="C491">
            <v>130780</v>
          </cell>
          <cell r="D491">
            <v>213260</v>
          </cell>
        </row>
        <row r="492">
          <cell r="A492">
            <v>1842210810</v>
          </cell>
          <cell r="B492" t="str">
            <v>קייטנת אמהות</v>
          </cell>
          <cell r="C492">
            <v>0</v>
          </cell>
          <cell r="D492">
            <v>0</v>
          </cell>
        </row>
        <row r="493">
          <cell r="A493">
            <v>1842210840</v>
          </cell>
          <cell r="B493" t="str">
            <v>סיוע למשפחות עם ילדים</v>
          </cell>
          <cell r="C493">
            <v>243240</v>
          </cell>
          <cell r="D493">
            <v>253802</v>
          </cell>
        </row>
        <row r="494">
          <cell r="A494">
            <v>1842220810</v>
          </cell>
          <cell r="B494" t="str">
            <v>בית חם לנערות</v>
          </cell>
          <cell r="C494">
            <v>288220</v>
          </cell>
          <cell r="D494">
            <v>302900</v>
          </cell>
        </row>
        <row r="495">
          <cell r="A495">
            <v>1842222510</v>
          </cell>
          <cell r="B495" t="str">
            <v>צרכי משרד רווחה</v>
          </cell>
          <cell r="C495">
            <v>0</v>
          </cell>
          <cell r="D495">
            <v>702</v>
          </cell>
        </row>
        <row r="496">
          <cell r="A496">
            <v>1842222930</v>
          </cell>
          <cell r="B496" t="str">
            <v>צרכי משרד רווחה</v>
          </cell>
          <cell r="C496">
            <v>0</v>
          </cell>
          <cell r="D496">
            <v>0</v>
          </cell>
        </row>
        <row r="497">
          <cell r="A497">
            <v>1842230810</v>
          </cell>
          <cell r="B497" t="str">
            <v>מרכזי טיפול באלימות</v>
          </cell>
          <cell r="C497">
            <v>42480</v>
          </cell>
          <cell r="D497">
            <v>100757</v>
          </cell>
        </row>
        <row r="498">
          <cell r="A498">
            <v>1842500810</v>
          </cell>
          <cell r="B498" t="str">
            <v>סמך מקצועי</v>
          </cell>
          <cell r="C498">
            <v>830</v>
          </cell>
          <cell r="D498">
            <v>0</v>
          </cell>
        </row>
        <row r="499">
          <cell r="A499">
            <v>1842510810</v>
          </cell>
          <cell r="B499" t="str">
            <v>מכון וינגנט</v>
          </cell>
          <cell r="C499">
            <v>6660</v>
          </cell>
          <cell r="D499">
            <v>0</v>
          </cell>
        </row>
        <row r="500">
          <cell r="A500">
            <v>1842600410</v>
          </cell>
          <cell r="B500" t="str">
            <v>שכר דירה משרד רווח</v>
          </cell>
          <cell r="C500">
            <v>51650</v>
          </cell>
          <cell r="D500">
            <v>74400</v>
          </cell>
        </row>
        <row r="501">
          <cell r="A501">
            <v>1843500810</v>
          </cell>
          <cell r="B501" t="str">
            <v>רכזות משפחתונים</v>
          </cell>
          <cell r="C501">
            <v>1248670</v>
          </cell>
          <cell r="D501">
            <v>1311711</v>
          </cell>
        </row>
        <row r="502">
          <cell r="A502">
            <v>1843510840</v>
          </cell>
          <cell r="B502" t="str">
            <v>טיפול בילד בקהילה</v>
          </cell>
          <cell r="C502">
            <v>353190</v>
          </cell>
          <cell r="D502">
            <v>411418</v>
          </cell>
        </row>
        <row r="503">
          <cell r="A503">
            <v>1843800840</v>
          </cell>
          <cell r="B503" t="str">
            <v>אחזקת ילדים בפנימיות</v>
          </cell>
          <cell r="C503">
            <v>242400</v>
          </cell>
          <cell r="D503">
            <v>200420</v>
          </cell>
        </row>
        <row r="504">
          <cell r="A504">
            <v>1843900810</v>
          </cell>
          <cell r="B504" t="str">
            <v>ילדים במעון יום</v>
          </cell>
          <cell r="C504">
            <v>0</v>
          </cell>
          <cell r="D504">
            <v>0</v>
          </cell>
        </row>
        <row r="505">
          <cell r="A505">
            <v>1843910810</v>
          </cell>
          <cell r="B505" t="str">
            <v>אומנה יומית</v>
          </cell>
          <cell r="C505">
            <v>15830</v>
          </cell>
          <cell r="D505">
            <v>12771</v>
          </cell>
        </row>
        <row r="506">
          <cell r="A506">
            <v>1844000110</v>
          </cell>
          <cell r="B506" t="str">
            <v>משכורת כוללת</v>
          </cell>
          <cell r="C506">
            <v>69140</v>
          </cell>
          <cell r="D506">
            <v>67502.55</v>
          </cell>
        </row>
        <row r="507">
          <cell r="A507">
            <v>1844000431</v>
          </cell>
          <cell r="B507" t="str">
            <v>חשמל בית הקשיש</v>
          </cell>
          <cell r="C507">
            <v>0</v>
          </cell>
          <cell r="D507">
            <v>0</v>
          </cell>
        </row>
        <row r="508">
          <cell r="A508">
            <v>1844000980</v>
          </cell>
          <cell r="B508" t="str">
            <v>הוצ" שונות בית זקנים</v>
          </cell>
          <cell r="C508">
            <v>0</v>
          </cell>
          <cell r="D508">
            <v>0</v>
          </cell>
        </row>
        <row r="509">
          <cell r="A509">
            <v>1844410810</v>
          </cell>
          <cell r="B509" t="str">
            <v>צרכים מיוחדים לזקן</v>
          </cell>
          <cell r="C509">
            <v>44150</v>
          </cell>
          <cell r="D509">
            <v>49256</v>
          </cell>
        </row>
        <row r="510">
          <cell r="A510">
            <v>1844410840</v>
          </cell>
          <cell r="B510" t="str">
            <v>טיפול בזקן בקהילה</v>
          </cell>
          <cell r="C510">
            <v>81630</v>
          </cell>
          <cell r="D510">
            <v>79353</v>
          </cell>
        </row>
        <row r="511">
          <cell r="A511">
            <v>1845100840</v>
          </cell>
          <cell r="B511" t="str">
            <v>סדור מפגרים במוסדות</v>
          </cell>
          <cell r="C511">
            <v>466480</v>
          </cell>
          <cell r="D511">
            <v>597296</v>
          </cell>
        </row>
        <row r="512">
          <cell r="A512">
            <v>1845110840</v>
          </cell>
          <cell r="B512" t="str">
            <v>מפגרים במעון טיפולי</v>
          </cell>
          <cell r="C512">
            <v>613090</v>
          </cell>
          <cell r="D512">
            <v>551862</v>
          </cell>
        </row>
        <row r="513">
          <cell r="A513">
            <v>1845120840</v>
          </cell>
          <cell r="B513" t="str">
            <v>הסעות למעון יום טיפולי</v>
          </cell>
          <cell r="C513">
            <v>509800</v>
          </cell>
          <cell r="D513">
            <v>552647</v>
          </cell>
        </row>
        <row r="514">
          <cell r="A514">
            <v>1845200840</v>
          </cell>
          <cell r="B514" t="str">
            <v>מעשי"ם</v>
          </cell>
          <cell r="C514">
            <v>78300</v>
          </cell>
          <cell r="D514">
            <v>50232</v>
          </cell>
        </row>
        <row r="515">
          <cell r="A515">
            <v>1845210840</v>
          </cell>
          <cell r="B515" t="str">
            <v>מפגרים במעון אמוני</v>
          </cell>
          <cell r="C515">
            <v>0</v>
          </cell>
          <cell r="D515">
            <v>0</v>
          </cell>
        </row>
        <row r="516">
          <cell r="A516">
            <v>1845300840</v>
          </cell>
          <cell r="B516" t="str">
            <v>שרותים תומכים למפגר</v>
          </cell>
          <cell r="C516">
            <v>0</v>
          </cell>
          <cell r="D516">
            <v>3550</v>
          </cell>
        </row>
        <row r="517">
          <cell r="A517">
            <v>1845500840</v>
          </cell>
          <cell r="B517" t="str">
            <v>תוכנית עם הפנים לקהילה</v>
          </cell>
          <cell r="C517">
            <v>101630</v>
          </cell>
          <cell r="D517">
            <v>85401</v>
          </cell>
        </row>
        <row r="518">
          <cell r="A518">
            <v>1846300840</v>
          </cell>
          <cell r="B518" t="str">
            <v>דמי ליווי לעוור</v>
          </cell>
          <cell r="C518">
            <v>10830</v>
          </cell>
          <cell r="D518">
            <v>10714</v>
          </cell>
        </row>
        <row r="519">
          <cell r="A519">
            <v>1846310840</v>
          </cell>
          <cell r="B519" t="str">
            <v>דמי תקשורת לחרשים</v>
          </cell>
          <cell r="C519">
            <v>0</v>
          </cell>
          <cell r="D519">
            <v>0</v>
          </cell>
        </row>
        <row r="520">
          <cell r="A520">
            <v>1846350840</v>
          </cell>
          <cell r="B520" t="str">
            <v>כ"א בחינוך מיוחד</v>
          </cell>
          <cell r="C520">
            <v>0</v>
          </cell>
          <cell r="D520">
            <v>0</v>
          </cell>
        </row>
        <row r="521">
          <cell r="A521">
            <v>1846600840</v>
          </cell>
          <cell r="B521" t="str">
            <v>מלחמה בסמים</v>
          </cell>
          <cell r="C521">
            <v>0</v>
          </cell>
          <cell r="D521">
            <v>27181</v>
          </cell>
        </row>
        <row r="522">
          <cell r="A522">
            <v>1846610810</v>
          </cell>
          <cell r="B522" t="str">
            <v>מעדונית משפחתית</v>
          </cell>
          <cell r="C522">
            <v>83300</v>
          </cell>
          <cell r="D522">
            <v>80924</v>
          </cell>
        </row>
        <row r="523">
          <cell r="A523">
            <v>1846610840</v>
          </cell>
          <cell r="B523" t="str">
            <v>מעדוניות משוטפות</v>
          </cell>
          <cell r="C523">
            <v>0</v>
          </cell>
          <cell r="D523">
            <v>13026</v>
          </cell>
        </row>
        <row r="524">
          <cell r="A524">
            <v>1846800810</v>
          </cell>
          <cell r="B524" t="str">
            <v>מפעלי שיקום</v>
          </cell>
          <cell r="C524">
            <v>14160</v>
          </cell>
          <cell r="D524">
            <v>48160</v>
          </cell>
        </row>
        <row r="525">
          <cell r="A525">
            <v>1846800840</v>
          </cell>
          <cell r="B525" t="str">
            <v>מרכזי אבחון ושיקום</v>
          </cell>
          <cell r="C525">
            <v>180760</v>
          </cell>
          <cell r="D525">
            <v>253325</v>
          </cell>
        </row>
        <row r="526">
          <cell r="A526">
            <v>1847300840</v>
          </cell>
          <cell r="B526" t="str">
            <v>א/ע שמרון מטבחחים השתתפות</v>
          </cell>
          <cell r="C526">
            <v>0</v>
          </cell>
          <cell r="D526">
            <v>0</v>
          </cell>
        </row>
        <row r="527">
          <cell r="A527">
            <v>1850000431</v>
          </cell>
          <cell r="B527" t="str">
            <v>חשמל מסגדים</v>
          </cell>
          <cell r="C527">
            <v>79970</v>
          </cell>
          <cell r="D527">
            <v>61587.82</v>
          </cell>
        </row>
        <row r="528">
          <cell r="A528">
            <v>1853000432</v>
          </cell>
          <cell r="B528" t="str">
            <v>מים מסגדים וקברותץ</v>
          </cell>
          <cell r="C528">
            <v>31650</v>
          </cell>
          <cell r="D528">
            <v>45622.7</v>
          </cell>
        </row>
        <row r="529">
          <cell r="A529">
            <v>1853000750</v>
          </cell>
          <cell r="B529" t="str">
            <v>עבודות קבלניות-מסגדים</v>
          </cell>
          <cell r="C529">
            <v>0</v>
          </cell>
          <cell r="D529">
            <v>0</v>
          </cell>
        </row>
        <row r="530">
          <cell r="A530">
            <v>1853000810</v>
          </cell>
          <cell r="B530" t="str">
            <v>תמכיה במסגדים</v>
          </cell>
          <cell r="C530">
            <v>2500</v>
          </cell>
          <cell r="D530">
            <v>0</v>
          </cell>
        </row>
        <row r="531">
          <cell r="A531">
            <v>1853000820</v>
          </cell>
          <cell r="B531" t="str">
            <v>תמיכה באימאם</v>
          </cell>
          <cell r="C531">
            <v>0</v>
          </cell>
          <cell r="D531">
            <v>0</v>
          </cell>
        </row>
        <row r="532">
          <cell r="A532">
            <v>1912000110</v>
          </cell>
          <cell r="B532" t="str">
            <v>משכורות   כלליות</v>
          </cell>
          <cell r="C532">
            <v>101630</v>
          </cell>
          <cell r="D532">
            <v>30562.35</v>
          </cell>
        </row>
        <row r="533">
          <cell r="A533">
            <v>1913000540</v>
          </cell>
          <cell r="B533" t="str">
            <v>הוצ" תקשורת</v>
          </cell>
          <cell r="C533">
            <v>0</v>
          </cell>
          <cell r="D533">
            <v>0</v>
          </cell>
        </row>
        <row r="534">
          <cell r="A534">
            <v>1913000732</v>
          </cell>
          <cell r="B534" t="str">
            <v>תקונים וח-ח רכב</v>
          </cell>
          <cell r="C534">
            <v>11660</v>
          </cell>
          <cell r="D534">
            <v>7348.9</v>
          </cell>
        </row>
        <row r="535">
          <cell r="A535">
            <v>1913100720</v>
          </cell>
          <cell r="B535" t="str">
            <v>קנית ממים ממקורות</v>
          </cell>
          <cell r="C535">
            <v>2728910</v>
          </cell>
          <cell r="D535">
            <v>2427451.65</v>
          </cell>
        </row>
        <row r="536">
          <cell r="A536">
            <v>1913200110</v>
          </cell>
          <cell r="B536" t="str">
            <v>משכורות</v>
          </cell>
          <cell r="C536">
            <v>163270</v>
          </cell>
          <cell r="D536">
            <v>137636.68</v>
          </cell>
        </row>
        <row r="537">
          <cell r="A537">
            <v>1913200431</v>
          </cell>
          <cell r="B537" t="str">
            <v>חשמל מ.מים</v>
          </cell>
          <cell r="C537">
            <v>65810</v>
          </cell>
          <cell r="D537">
            <v>57602.96</v>
          </cell>
        </row>
        <row r="538">
          <cell r="A538">
            <v>1913200720</v>
          </cell>
          <cell r="B538" t="str">
            <v>קרן שיקום צנרת</v>
          </cell>
          <cell r="C538">
            <v>0</v>
          </cell>
          <cell r="D538">
            <v>0</v>
          </cell>
        </row>
        <row r="539">
          <cell r="A539">
            <v>1913200731</v>
          </cell>
          <cell r="B539" t="str">
            <v>דלק</v>
          </cell>
          <cell r="C539">
            <v>6660</v>
          </cell>
          <cell r="D539">
            <v>19172.05</v>
          </cell>
        </row>
        <row r="540">
          <cell r="A540">
            <v>1913200750</v>
          </cell>
          <cell r="B540" t="str">
            <v>אחזקת מערכת מים</v>
          </cell>
          <cell r="C540">
            <v>123280</v>
          </cell>
          <cell r="D540">
            <v>67623.45</v>
          </cell>
        </row>
        <row r="541">
          <cell r="A541">
            <v>1913200910</v>
          </cell>
          <cell r="B541" t="str">
            <v>השתתפות בתב"ר</v>
          </cell>
          <cell r="C541">
            <v>0</v>
          </cell>
          <cell r="D541">
            <v>0</v>
          </cell>
        </row>
        <row r="542">
          <cell r="A542">
            <v>1913200930</v>
          </cell>
          <cell r="B542" t="str">
            <v>רכישת ציוד יסודי</v>
          </cell>
          <cell r="C542">
            <v>0</v>
          </cell>
          <cell r="D542">
            <v>0</v>
          </cell>
        </row>
        <row r="543">
          <cell r="A543">
            <v>1913300731</v>
          </cell>
          <cell r="B543" t="str">
            <v>הוצ עודפת</v>
          </cell>
          <cell r="C543">
            <v>12500</v>
          </cell>
          <cell r="D543">
            <v>13200</v>
          </cell>
        </row>
        <row r="544">
          <cell r="A544">
            <v>1970000110</v>
          </cell>
          <cell r="B544" t="str">
            <v>הוצ" משכורת / תיעול ויקוז</v>
          </cell>
          <cell r="C544">
            <v>114120</v>
          </cell>
          <cell r="D544">
            <v>132016.56</v>
          </cell>
        </row>
        <row r="545">
          <cell r="A545">
            <v>1973000431</v>
          </cell>
          <cell r="B545" t="str">
            <v>חשמל מכון שאיבה</v>
          </cell>
          <cell r="C545">
            <v>14990</v>
          </cell>
          <cell r="D545">
            <v>0</v>
          </cell>
        </row>
        <row r="546">
          <cell r="A546">
            <v>1973000440</v>
          </cell>
          <cell r="B546" t="str">
            <v>ביטוחים</v>
          </cell>
          <cell r="C546">
            <v>22490</v>
          </cell>
          <cell r="D546">
            <v>22132</v>
          </cell>
        </row>
        <row r="547">
          <cell r="A547">
            <v>1973000691</v>
          </cell>
          <cell r="B547" t="str">
            <v>קרן ביוב</v>
          </cell>
          <cell r="C547">
            <v>7500</v>
          </cell>
          <cell r="D547">
            <v>8748.4</v>
          </cell>
        </row>
        <row r="548">
          <cell r="A548">
            <v>1973000692</v>
          </cell>
          <cell r="B548" t="str">
            <v>ריבית ביוב</v>
          </cell>
          <cell r="C548">
            <v>5000</v>
          </cell>
          <cell r="D548">
            <v>5328.72</v>
          </cell>
        </row>
        <row r="549">
          <cell r="A549">
            <v>1973000693</v>
          </cell>
          <cell r="B549" t="str">
            <v>הצמדה ביוב</v>
          </cell>
          <cell r="C549">
            <v>830</v>
          </cell>
          <cell r="D549">
            <v>1382.66</v>
          </cell>
        </row>
        <row r="550">
          <cell r="A550">
            <v>1973000750</v>
          </cell>
          <cell r="B550" t="str">
            <v>אחזקת מכון שאיבה</v>
          </cell>
          <cell r="C550">
            <v>167430</v>
          </cell>
          <cell r="D550">
            <v>134723</v>
          </cell>
        </row>
        <row r="551">
          <cell r="A551">
            <v>1973000760</v>
          </cell>
          <cell r="B551" t="str">
            <v>מט"ש מעיין צבי אחזקה</v>
          </cell>
          <cell r="C551">
            <v>0</v>
          </cell>
          <cell r="D551">
            <v>0</v>
          </cell>
        </row>
        <row r="552">
          <cell r="A552">
            <v>1973000810</v>
          </cell>
          <cell r="B552" t="str">
            <v>מט"ש מעיין צבי אחזקה</v>
          </cell>
          <cell r="C552">
            <v>541450</v>
          </cell>
          <cell r="D552">
            <v>100000</v>
          </cell>
        </row>
        <row r="553">
          <cell r="A553">
            <v>1973000930</v>
          </cell>
          <cell r="B553" t="str">
            <v>ציוד יסודי-מערכת ביוב</v>
          </cell>
          <cell r="C553">
            <v>0</v>
          </cell>
          <cell r="D553">
            <v>-100000</v>
          </cell>
        </row>
        <row r="554">
          <cell r="A554">
            <v>1973100750</v>
          </cell>
          <cell r="B554" t="str">
            <v>תיקונים קווי ביוב פנימיים וחיב</v>
          </cell>
          <cell r="C554">
            <v>0</v>
          </cell>
          <cell r="D554">
            <v>0</v>
          </cell>
        </row>
        <row r="555">
          <cell r="A555">
            <v>1992000091</v>
          </cell>
          <cell r="B555" t="str">
            <v>הוצאות חד פעמיות</v>
          </cell>
          <cell r="C555">
            <v>0</v>
          </cell>
          <cell r="D555">
            <v>0</v>
          </cell>
        </row>
        <row r="556">
          <cell r="A556">
            <v>1992000910</v>
          </cell>
          <cell r="B556" t="str">
            <v>הוצ" ח"פ והעברות לתבר"ם</v>
          </cell>
          <cell r="C556">
            <v>0</v>
          </cell>
          <cell r="D556">
            <v>0</v>
          </cell>
        </row>
        <row r="557">
          <cell r="A557">
            <v>1992000960</v>
          </cell>
          <cell r="B557" t="str">
            <v>הוצ" מותנות</v>
          </cell>
          <cell r="C557">
            <v>1406940</v>
          </cell>
          <cell r="D557">
            <v>0</v>
          </cell>
        </row>
        <row r="558">
          <cell r="A558">
            <v>1992000991</v>
          </cell>
          <cell r="B558" t="str">
            <v>הוצאות חד פעמיות</v>
          </cell>
          <cell r="C558">
            <v>0</v>
          </cell>
          <cell r="D558">
            <v>0</v>
          </cell>
        </row>
        <row r="559">
          <cell r="A559">
            <v>1995000860</v>
          </cell>
          <cell r="B559" t="str">
            <v>הנחות ממסים לפי חוק</v>
          </cell>
          <cell r="C559">
            <v>2129150</v>
          </cell>
          <cell r="D559">
            <v>1256699.5</v>
          </cell>
        </row>
        <row r="560">
          <cell r="A560">
            <v>1998000115</v>
          </cell>
          <cell r="B560" t="str">
            <v>תוספות אחרות</v>
          </cell>
          <cell r="C560">
            <v>0</v>
          </cell>
          <cell r="D560">
            <v>0</v>
          </cell>
        </row>
      </sheetData>
      <sheetData sheetId="10"/>
      <sheetData sheetId="11"/>
      <sheetData sheetId="12"/>
      <sheetData sheetId="13">
        <row r="1">
          <cell r="A1" t="str">
            <v>מס' כרטיס</v>
          </cell>
          <cell r="B1" t="str">
            <v>שנת תקציב</v>
          </cell>
          <cell r="C1" t="str">
            <v>שם כרטיס</v>
          </cell>
          <cell r="D1" t="str">
            <v>תקציב</v>
          </cell>
          <cell r="E1" t="str">
            <v>ביצוע</v>
          </cell>
        </row>
        <row r="2">
          <cell r="A2">
            <v>1111100100</v>
          </cell>
          <cell r="B2">
            <v>2016</v>
          </cell>
          <cell r="C2" t="str">
            <v>ארנונה כללית למגו</v>
          </cell>
          <cell r="D2">
            <v>6400000</v>
          </cell>
          <cell r="E2">
            <v>3605595.66</v>
          </cell>
        </row>
        <row r="3">
          <cell r="A3">
            <v>1111200100</v>
          </cell>
          <cell r="B3">
            <v>2016</v>
          </cell>
          <cell r="C3" t="str">
            <v>ארנונה פיגורים</v>
          </cell>
          <cell r="D3">
            <v>600000</v>
          </cell>
          <cell r="E3">
            <v>355784.76</v>
          </cell>
        </row>
        <row r="4">
          <cell r="A4">
            <v>1116000100</v>
          </cell>
          <cell r="B4">
            <v>2016</v>
          </cell>
          <cell r="C4" t="str">
            <v>הנחות ארנונה</v>
          </cell>
          <cell r="D4">
            <v>5500000</v>
          </cell>
        </row>
        <row r="5">
          <cell r="A5">
            <v>1141000790</v>
          </cell>
          <cell r="B5">
            <v>2016</v>
          </cell>
          <cell r="C5" t="str">
            <v>הועדה במקמית היטל ואגרות</v>
          </cell>
          <cell r="D5">
            <v>960000</v>
          </cell>
        </row>
        <row r="6">
          <cell r="A6">
            <v>1191000910</v>
          </cell>
          <cell r="B6">
            <v>2016</v>
          </cell>
          <cell r="C6" t="str">
            <v>מענק כללי לאיזון</v>
          </cell>
          <cell r="D6">
            <v>10241000</v>
          </cell>
          <cell r="E6">
            <v>7344568.0099999998</v>
          </cell>
        </row>
        <row r="7">
          <cell r="A7">
            <v>1192000910</v>
          </cell>
          <cell r="B7">
            <v>2016</v>
          </cell>
          <cell r="C7" t="str">
            <v>מענק חד פעמי</v>
          </cell>
          <cell r="D7">
            <v>2249000</v>
          </cell>
        </row>
        <row r="8">
          <cell r="A8">
            <v>1221000970</v>
          </cell>
          <cell r="B8">
            <v>2016</v>
          </cell>
          <cell r="C8" t="str">
            <v>עיר ללא אלימות</v>
          </cell>
          <cell r="D8">
            <v>270000</v>
          </cell>
          <cell r="E8">
            <v>79796</v>
          </cell>
        </row>
        <row r="9">
          <cell r="A9">
            <v>1221100990</v>
          </cell>
          <cell r="B9">
            <v>2016</v>
          </cell>
          <cell r="C9" t="str">
            <v>הכנסות ביטחון</v>
          </cell>
          <cell r="D9">
            <v>50000</v>
          </cell>
        </row>
        <row r="10">
          <cell r="A10">
            <v>1231000670</v>
          </cell>
          <cell r="B10">
            <v>2016</v>
          </cell>
          <cell r="C10" t="str">
            <v>מכירת מכרזים</v>
          </cell>
          <cell r="D10">
            <v>0</v>
          </cell>
          <cell r="E10">
            <v>6600</v>
          </cell>
        </row>
        <row r="11">
          <cell r="A11">
            <v>1244000990</v>
          </cell>
          <cell r="B11">
            <v>2016</v>
          </cell>
          <cell r="C11" t="str">
            <v>הכנסות ממשלתיות א</v>
          </cell>
          <cell r="D11">
            <v>24000</v>
          </cell>
          <cell r="E11">
            <v>13500</v>
          </cell>
        </row>
        <row r="12">
          <cell r="A12">
            <v>1269000690</v>
          </cell>
          <cell r="B12">
            <v>2016</v>
          </cell>
          <cell r="C12" t="str">
            <v>הכנסה מאגרות ושלטים</v>
          </cell>
          <cell r="D12">
            <v>3000</v>
          </cell>
        </row>
        <row r="13">
          <cell r="A13">
            <v>1269000790</v>
          </cell>
          <cell r="B13">
            <v>2016</v>
          </cell>
          <cell r="C13" t="str">
            <v>הכנסות שונות</v>
          </cell>
          <cell r="D13">
            <v>2100</v>
          </cell>
          <cell r="E13">
            <v>112.7</v>
          </cell>
        </row>
        <row r="14">
          <cell r="A14">
            <v>1282000290</v>
          </cell>
          <cell r="B14">
            <v>2016</v>
          </cell>
          <cell r="C14" t="str">
            <v>אכיפה חב' גביה</v>
          </cell>
          <cell r="D14">
            <v>40000</v>
          </cell>
          <cell r="E14">
            <v>10454.35</v>
          </cell>
        </row>
        <row r="15">
          <cell r="A15">
            <v>1312200920</v>
          </cell>
          <cell r="B15">
            <v>2016</v>
          </cell>
          <cell r="C15" t="str">
            <v>עוזרות לגננות</v>
          </cell>
          <cell r="D15">
            <v>300000</v>
          </cell>
          <cell r="E15">
            <v>145988.82</v>
          </cell>
        </row>
        <row r="16">
          <cell r="A16">
            <v>1312300920</v>
          </cell>
          <cell r="B16">
            <v>2016</v>
          </cell>
          <cell r="C16" t="str">
            <v>שכל"מ גנ"י קדם חו</v>
          </cell>
          <cell r="D16">
            <v>1250000</v>
          </cell>
          <cell r="E16">
            <v>23211.25</v>
          </cell>
        </row>
        <row r="17">
          <cell r="A17">
            <v>1312410920</v>
          </cell>
          <cell r="B17">
            <v>2016</v>
          </cell>
          <cell r="C17" t="str">
            <v>חוק שילוב סייעות</v>
          </cell>
          <cell r="D17">
            <v>210000</v>
          </cell>
          <cell r="E17">
            <v>130847.22</v>
          </cell>
        </row>
        <row r="18">
          <cell r="A18">
            <v>1312500920</v>
          </cell>
          <cell r="B18">
            <v>2016</v>
          </cell>
          <cell r="C18" t="str">
            <v>מועדוניות משותפות</v>
          </cell>
          <cell r="D18">
            <v>108000</v>
          </cell>
          <cell r="E18">
            <v>82452.399999999994</v>
          </cell>
        </row>
        <row r="19">
          <cell r="A19">
            <v>1312600920</v>
          </cell>
          <cell r="B19">
            <v>2016</v>
          </cell>
          <cell r="C19" t="str">
            <v>דמי שתיה</v>
          </cell>
          <cell r="D19">
            <v>4000</v>
          </cell>
          <cell r="E19">
            <v>3021.8</v>
          </cell>
        </row>
        <row r="20">
          <cell r="A20">
            <v>1312700920</v>
          </cell>
          <cell r="B20">
            <v>2016</v>
          </cell>
          <cell r="C20" t="str">
            <v>אגרות שכפול</v>
          </cell>
          <cell r="D20">
            <v>11000</v>
          </cell>
          <cell r="E20">
            <v>27353.200000000001</v>
          </cell>
        </row>
        <row r="21">
          <cell r="A21">
            <v>1313200420</v>
          </cell>
          <cell r="B21">
            <v>2016</v>
          </cell>
          <cell r="C21" t="str">
            <v>בי"ס יסודיים השתת</v>
          </cell>
          <cell r="D21">
            <v>41000</v>
          </cell>
          <cell r="E21">
            <v>48083</v>
          </cell>
        </row>
        <row r="22">
          <cell r="A22">
            <v>1313200920</v>
          </cell>
          <cell r="B22">
            <v>2016</v>
          </cell>
          <cell r="C22" t="str">
            <v>שרתים השתת ממשלה</v>
          </cell>
          <cell r="D22">
            <v>80000</v>
          </cell>
          <cell r="E22">
            <v>39467.1</v>
          </cell>
        </row>
        <row r="23">
          <cell r="A23">
            <v>1313210920</v>
          </cell>
          <cell r="B23">
            <v>2016</v>
          </cell>
          <cell r="C23" t="str">
            <v>ניהול עצמי משופר 571</v>
          </cell>
          <cell r="D23">
            <v>490000</v>
          </cell>
          <cell r="E23">
            <v>287834.90000000002</v>
          </cell>
        </row>
        <row r="24">
          <cell r="A24">
            <v>1313210921</v>
          </cell>
          <cell r="B24">
            <v>2016</v>
          </cell>
          <cell r="C24" t="str">
            <v>ניהול עצמי עובד סיוע</v>
          </cell>
          <cell r="D24">
            <v>100000</v>
          </cell>
          <cell r="E24">
            <v>52608.88</v>
          </cell>
        </row>
        <row r="25">
          <cell r="A25">
            <v>1313210922</v>
          </cell>
          <cell r="B25">
            <v>2016</v>
          </cell>
          <cell r="C25" t="str">
            <v>נ.עצמי תוס' דפרנציאלי</v>
          </cell>
          <cell r="D25">
            <v>80000</v>
          </cell>
          <cell r="E25">
            <v>52300</v>
          </cell>
        </row>
        <row r="26">
          <cell r="A26">
            <v>1313210923</v>
          </cell>
          <cell r="B26">
            <v>2016</v>
          </cell>
          <cell r="C26" t="str">
            <v>נ.עצמי גמול מנהליות</v>
          </cell>
          <cell r="D26">
            <v>2000</v>
          </cell>
          <cell r="E26">
            <v>1336.4</v>
          </cell>
        </row>
        <row r="27">
          <cell r="A27">
            <v>1313220920</v>
          </cell>
          <cell r="B27">
            <v>2016</v>
          </cell>
          <cell r="C27" t="str">
            <v>השתתפות הורים חומר</v>
          </cell>
          <cell r="D27">
            <v>16500</v>
          </cell>
          <cell r="E27">
            <v>55297.2</v>
          </cell>
        </row>
        <row r="28">
          <cell r="A28">
            <v>1313240920</v>
          </cell>
          <cell r="B28">
            <v>2016</v>
          </cell>
          <cell r="C28" t="str">
            <v>שירותי מנב"ס</v>
          </cell>
          <cell r="E28">
            <v>-3420.73</v>
          </cell>
        </row>
        <row r="29">
          <cell r="A29">
            <v>1313280921</v>
          </cell>
          <cell r="B29">
            <v>2016</v>
          </cell>
          <cell r="C29" t="str">
            <v>ש.קיץ מפגעי בטיחו</v>
          </cell>
          <cell r="D29">
            <v>60700</v>
          </cell>
          <cell r="E29">
            <v>70196.100000000006</v>
          </cell>
        </row>
        <row r="30">
          <cell r="A30">
            <v>1313290921</v>
          </cell>
          <cell r="B30">
            <v>2016</v>
          </cell>
          <cell r="C30" t="str">
            <v>מסגרת קיץ לתלמיד</v>
          </cell>
          <cell r="E30">
            <v>280622.92</v>
          </cell>
        </row>
        <row r="31">
          <cell r="A31">
            <v>1313300920</v>
          </cell>
          <cell r="B31">
            <v>2016</v>
          </cell>
          <cell r="C31" t="str">
            <v>הסעות חינוך מיוחד</v>
          </cell>
          <cell r="D31">
            <v>167000</v>
          </cell>
          <cell r="E31">
            <v>310244.73</v>
          </cell>
        </row>
        <row r="32">
          <cell r="A32">
            <v>1313310920</v>
          </cell>
          <cell r="B32">
            <v>2016</v>
          </cell>
          <cell r="C32" t="str">
            <v>מזכירים</v>
          </cell>
          <cell r="D32">
            <v>32300</v>
          </cell>
          <cell r="E32">
            <v>9448.36</v>
          </cell>
        </row>
        <row r="33">
          <cell r="A33">
            <v>1313320920</v>
          </cell>
          <cell r="B33">
            <v>2016</v>
          </cell>
          <cell r="C33" t="str">
            <v>סייעות כיתתיות</v>
          </cell>
          <cell r="D33">
            <v>415000</v>
          </cell>
          <cell r="E33">
            <v>503604.88</v>
          </cell>
        </row>
        <row r="34">
          <cell r="A34">
            <v>1313800420</v>
          </cell>
          <cell r="B34">
            <v>2016</v>
          </cell>
          <cell r="C34" t="str">
            <v>השת' בקיטנה</v>
          </cell>
          <cell r="D34">
            <v>1500</v>
          </cell>
          <cell r="E34">
            <v>1311.16</v>
          </cell>
        </row>
        <row r="35">
          <cell r="A35">
            <v>1314000920</v>
          </cell>
          <cell r="B35">
            <v>2016</v>
          </cell>
          <cell r="C35" t="str">
            <v>סל תלמיד לחט"ב</v>
          </cell>
          <cell r="D35">
            <v>840000</v>
          </cell>
          <cell r="E35">
            <v>400780.75</v>
          </cell>
        </row>
        <row r="36">
          <cell r="A36">
            <v>1314100921</v>
          </cell>
          <cell r="B36">
            <v>2016</v>
          </cell>
          <cell r="C36" t="str">
            <v>תוכנית תקשוב 121 מחשבים חט"ב</v>
          </cell>
          <cell r="E36">
            <v>-29999.040000000001</v>
          </cell>
        </row>
        <row r="37">
          <cell r="A37">
            <v>1314200920</v>
          </cell>
          <cell r="B37">
            <v>2016</v>
          </cell>
          <cell r="C37" t="str">
            <v>מענק יובל</v>
          </cell>
          <cell r="D37">
            <v>72700</v>
          </cell>
          <cell r="E37">
            <v>90157.38</v>
          </cell>
        </row>
        <row r="38">
          <cell r="A38">
            <v>1314400920</v>
          </cell>
          <cell r="B38">
            <v>2016</v>
          </cell>
          <cell r="C38" t="str">
            <v>הסעות צפון</v>
          </cell>
          <cell r="D38">
            <v>40000</v>
          </cell>
          <cell r="E38">
            <v>39895.19</v>
          </cell>
        </row>
        <row r="39">
          <cell r="A39">
            <v>1315200920</v>
          </cell>
          <cell r="B39">
            <v>2016</v>
          </cell>
          <cell r="C39" t="str">
            <v>שכל"מ על יסודי</v>
          </cell>
          <cell r="D39">
            <v>6500000</v>
          </cell>
          <cell r="E39">
            <v>4927822.71</v>
          </cell>
        </row>
        <row r="40">
          <cell r="A40">
            <v>1315200923</v>
          </cell>
          <cell r="B40">
            <v>2016</v>
          </cell>
          <cell r="C40" t="str">
            <v>מניעת סמים</v>
          </cell>
          <cell r="D40">
            <v>4100</v>
          </cell>
          <cell r="E40">
            <v>4644.4799999999996</v>
          </cell>
        </row>
        <row r="41">
          <cell r="A41">
            <v>1315200924</v>
          </cell>
          <cell r="B41">
            <v>2016</v>
          </cell>
          <cell r="C41" t="str">
            <v>מילוי מקום - מוסדות</v>
          </cell>
          <cell r="D41">
            <v>20000</v>
          </cell>
          <cell r="E41">
            <v>9541.82</v>
          </cell>
        </row>
        <row r="42">
          <cell r="A42">
            <v>1315201920</v>
          </cell>
          <cell r="B42">
            <v>2016</v>
          </cell>
          <cell r="C42" t="str">
            <v>קרן השתלמות לשכ"ל</v>
          </cell>
          <cell r="D42">
            <v>307000</v>
          </cell>
          <cell r="E42">
            <v>216784.48</v>
          </cell>
        </row>
        <row r="43">
          <cell r="A43">
            <v>1315203922</v>
          </cell>
          <cell r="B43">
            <v>2016</v>
          </cell>
          <cell r="C43" t="str">
            <v>חינוך תעבורתי</v>
          </cell>
          <cell r="D43">
            <v>27500</v>
          </cell>
          <cell r="E43">
            <v>14054.92</v>
          </cell>
        </row>
        <row r="44">
          <cell r="A44">
            <v>1315209920</v>
          </cell>
          <cell r="B44">
            <v>2016</v>
          </cell>
          <cell r="C44" t="str">
            <v>ביגוד והבראה</v>
          </cell>
          <cell r="D44">
            <v>240200</v>
          </cell>
          <cell r="E44">
            <v>227044.15</v>
          </cell>
        </row>
        <row r="45">
          <cell r="A45">
            <v>1315210921</v>
          </cell>
          <cell r="B45">
            <v>2016</v>
          </cell>
          <cell r="C45" t="str">
            <v>מענקי השתלמות</v>
          </cell>
          <cell r="D45">
            <v>361700</v>
          </cell>
          <cell r="E45">
            <v>-6258</v>
          </cell>
        </row>
        <row r="46">
          <cell r="A46">
            <v>1315220920</v>
          </cell>
          <cell r="B46">
            <v>2016</v>
          </cell>
          <cell r="C46" t="str">
            <v>מוחזקות חדש פרירא</v>
          </cell>
          <cell r="D46">
            <v>1405000</v>
          </cell>
          <cell r="E46">
            <v>702459.01</v>
          </cell>
        </row>
        <row r="47">
          <cell r="A47">
            <v>1315220921</v>
          </cell>
          <cell r="B47">
            <v>2016</v>
          </cell>
          <cell r="C47" t="str">
            <v>שעות שילוב חט"ע</v>
          </cell>
          <cell r="D47">
            <v>40000</v>
          </cell>
        </row>
        <row r="48">
          <cell r="A48">
            <v>1315240920</v>
          </cell>
          <cell r="B48">
            <v>2016</v>
          </cell>
          <cell r="C48" t="str">
            <v>פעילות שביתה בי"ס</v>
          </cell>
          <cell r="E48">
            <v>-3980.89</v>
          </cell>
        </row>
        <row r="49">
          <cell r="A49">
            <v>1315250920</v>
          </cell>
          <cell r="B49">
            <v>2016</v>
          </cell>
          <cell r="C49" t="str">
            <v>שכ"ל ע"י חימום</v>
          </cell>
          <cell r="D49">
            <v>50000</v>
          </cell>
          <cell r="E49">
            <v>35184.9</v>
          </cell>
        </row>
        <row r="50">
          <cell r="A50">
            <v>1315260920</v>
          </cell>
          <cell r="B50">
            <v>2016</v>
          </cell>
          <cell r="C50" t="str">
            <v>הכנסות מדמי בחינו</v>
          </cell>
          <cell r="E50">
            <v>-1230</v>
          </cell>
        </row>
        <row r="51">
          <cell r="A51">
            <v>1315270920</v>
          </cell>
          <cell r="B51">
            <v>2016</v>
          </cell>
          <cell r="C51" t="str">
            <v>רכב מנהלים ב"ס על</v>
          </cell>
          <cell r="D51">
            <v>10000</v>
          </cell>
          <cell r="E51">
            <v>6686.4</v>
          </cell>
        </row>
        <row r="52">
          <cell r="A52">
            <v>1315280920</v>
          </cell>
          <cell r="B52">
            <v>2016</v>
          </cell>
          <cell r="C52" t="str">
            <v>רכב סגני מנהלים</v>
          </cell>
          <cell r="D52">
            <v>3300</v>
          </cell>
          <cell r="E52">
            <v>2171.1999999999998</v>
          </cell>
        </row>
        <row r="53">
          <cell r="A53">
            <v>1315290920</v>
          </cell>
          <cell r="B53">
            <v>2016</v>
          </cell>
          <cell r="C53" t="str">
            <v>גמול בגרות אחוזי</v>
          </cell>
          <cell r="D53">
            <v>118300</v>
          </cell>
          <cell r="E53">
            <v>77451.199999999997</v>
          </cell>
        </row>
        <row r="54">
          <cell r="A54">
            <v>1315300920</v>
          </cell>
          <cell r="B54">
            <v>2016</v>
          </cell>
          <cell r="C54" t="str">
            <v>ג.רכוז בטיחות בדר</v>
          </cell>
          <cell r="D54">
            <v>44100</v>
          </cell>
        </row>
        <row r="55">
          <cell r="A55">
            <v>1315310920</v>
          </cell>
          <cell r="B55">
            <v>2016</v>
          </cell>
          <cell r="C55" t="str">
            <v>חינוך תעבורתי</v>
          </cell>
          <cell r="E55">
            <v>3487.12</v>
          </cell>
        </row>
        <row r="56">
          <cell r="A56">
            <v>1315410920</v>
          </cell>
          <cell r="B56">
            <v>2016</v>
          </cell>
          <cell r="C56" t="str">
            <v>גמול הל"ל</v>
          </cell>
          <cell r="D56">
            <v>43300</v>
          </cell>
          <cell r="E56">
            <v>5278.72</v>
          </cell>
        </row>
        <row r="57">
          <cell r="A57">
            <v>1315590920</v>
          </cell>
          <cell r="B57">
            <v>2016</v>
          </cell>
          <cell r="C57" t="str">
            <v>גמול טיולים חוץ ב</v>
          </cell>
          <cell r="D57">
            <v>93000</v>
          </cell>
          <cell r="E57">
            <v>61909.77</v>
          </cell>
        </row>
        <row r="58">
          <cell r="A58">
            <v>1317300920</v>
          </cell>
          <cell r="B58">
            <v>2016</v>
          </cell>
          <cell r="C58" t="str">
            <v>פסיכולוגים חינוכי</v>
          </cell>
          <cell r="D58">
            <v>290500</v>
          </cell>
          <cell r="E58">
            <v>202673.78</v>
          </cell>
        </row>
        <row r="59">
          <cell r="A59">
            <v>1317700920</v>
          </cell>
          <cell r="B59">
            <v>2016</v>
          </cell>
          <cell r="C59" t="str">
            <v>קבסי"ם</v>
          </cell>
          <cell r="D59">
            <v>128000</v>
          </cell>
          <cell r="E59">
            <v>86852.9</v>
          </cell>
        </row>
        <row r="60">
          <cell r="A60">
            <v>1317710920</v>
          </cell>
          <cell r="B60">
            <v>2016</v>
          </cell>
          <cell r="C60" t="str">
            <v>קבטי"ם</v>
          </cell>
          <cell r="E60">
            <v>30659.72</v>
          </cell>
        </row>
        <row r="61">
          <cell r="A61">
            <v>1317800920</v>
          </cell>
          <cell r="B61">
            <v>2016</v>
          </cell>
          <cell r="C61" t="str">
            <v>ל.הסעות ח"מ צפון</v>
          </cell>
          <cell r="D61">
            <v>500000</v>
          </cell>
          <cell r="E61">
            <v>59912.24</v>
          </cell>
        </row>
        <row r="62">
          <cell r="A62">
            <v>1319000970</v>
          </cell>
          <cell r="B62">
            <v>2016</v>
          </cell>
          <cell r="C62" t="str">
            <v>אבטחת מוסדות חינוך השתתפות מ. בטחון פנים</v>
          </cell>
          <cell r="E62">
            <v>2062</v>
          </cell>
        </row>
        <row r="63">
          <cell r="A63">
            <v>1319000990</v>
          </cell>
          <cell r="B63">
            <v>2016</v>
          </cell>
          <cell r="C63" t="str">
            <v>השת' משטרה באבטחת מוס""ח"</v>
          </cell>
          <cell r="D63">
            <v>248000</v>
          </cell>
        </row>
        <row r="64">
          <cell r="A64">
            <v>1319900922</v>
          </cell>
          <cell r="B64">
            <v>2016</v>
          </cell>
          <cell r="C64" t="str">
            <v>מניעת נשירה</v>
          </cell>
          <cell r="E64">
            <v>45840</v>
          </cell>
        </row>
        <row r="65">
          <cell r="A65">
            <v>1327100920</v>
          </cell>
          <cell r="B65">
            <v>2016</v>
          </cell>
          <cell r="C65" t="str">
            <v>השת' משטרת ישראל</v>
          </cell>
          <cell r="D65">
            <v>0</v>
          </cell>
          <cell r="E65">
            <v>55357.05</v>
          </cell>
        </row>
        <row r="66">
          <cell r="A66">
            <v>1328100920</v>
          </cell>
          <cell r="B66">
            <v>2016</v>
          </cell>
          <cell r="C66" t="str">
            <v>השת' משרד החינוך ביחידת נוער</v>
          </cell>
          <cell r="E66">
            <v>51300</v>
          </cell>
        </row>
        <row r="67">
          <cell r="A67">
            <v>1328200410</v>
          </cell>
          <cell r="B67">
            <v>2016</v>
          </cell>
          <cell r="C67" t="str">
            <v>השת' ילדים בחוגים</v>
          </cell>
          <cell r="D67">
            <v>12000</v>
          </cell>
          <cell r="E67">
            <v>3400</v>
          </cell>
        </row>
        <row r="68">
          <cell r="A68">
            <v>1328200920</v>
          </cell>
          <cell r="B68">
            <v>2016</v>
          </cell>
          <cell r="C68" t="str">
            <v>מוקדי הפעלת נוער</v>
          </cell>
          <cell r="D68">
            <v>190000</v>
          </cell>
        </row>
        <row r="69">
          <cell r="A69">
            <v>1329000640</v>
          </cell>
          <cell r="B69">
            <v>2016</v>
          </cell>
          <cell r="C69" t="str">
            <v>הכנסות מהשכרת מגרש</v>
          </cell>
          <cell r="D69">
            <v>0</v>
          </cell>
          <cell r="E69">
            <v>800</v>
          </cell>
        </row>
        <row r="70">
          <cell r="A70">
            <v>1329200990</v>
          </cell>
          <cell r="B70">
            <v>2016</v>
          </cell>
          <cell r="C70" t="str">
            <v>הכנסות סל ספורט</v>
          </cell>
          <cell r="D70">
            <v>60000</v>
          </cell>
        </row>
        <row r="71">
          <cell r="A71">
            <v>1329300990</v>
          </cell>
          <cell r="B71">
            <v>2016</v>
          </cell>
          <cell r="C71" t="str">
            <v>מש.המדע והספורט</v>
          </cell>
          <cell r="D71">
            <v>0</v>
          </cell>
          <cell r="E71">
            <v>33118</v>
          </cell>
        </row>
        <row r="72">
          <cell r="A72">
            <v>1341000930</v>
          </cell>
          <cell r="B72">
            <v>2016</v>
          </cell>
          <cell r="C72" t="str">
            <v>שכר עובדי לשכות</v>
          </cell>
          <cell r="D72">
            <v>650000</v>
          </cell>
          <cell r="E72">
            <v>309547</v>
          </cell>
        </row>
        <row r="73">
          <cell r="A73">
            <v>1342200930</v>
          </cell>
          <cell r="B73">
            <v>2016</v>
          </cell>
          <cell r="C73" t="str">
            <v>משפחות במצוקה</v>
          </cell>
          <cell r="D73">
            <v>13300</v>
          </cell>
          <cell r="E73">
            <v>12534</v>
          </cell>
        </row>
        <row r="74">
          <cell r="A74">
            <v>1342200931</v>
          </cell>
          <cell r="B74">
            <v>2016</v>
          </cell>
          <cell r="C74" t="str">
            <v>מקלטים לנשים מוכו</v>
          </cell>
          <cell r="E74">
            <v>6488</v>
          </cell>
        </row>
        <row r="75">
          <cell r="A75">
            <v>1342200932</v>
          </cell>
          <cell r="B75">
            <v>2016</v>
          </cell>
          <cell r="C75" t="str">
            <v>סיוע למשפחות עם י</v>
          </cell>
          <cell r="D75">
            <v>8300</v>
          </cell>
          <cell r="E75">
            <v>4380</v>
          </cell>
        </row>
        <row r="76">
          <cell r="A76">
            <v>1342400931</v>
          </cell>
          <cell r="B76">
            <v>2016</v>
          </cell>
          <cell r="C76" t="str">
            <v>מרכזי טיפול באלימות</v>
          </cell>
          <cell r="E76">
            <v>11777</v>
          </cell>
        </row>
        <row r="77">
          <cell r="A77">
            <v>1343500931</v>
          </cell>
          <cell r="B77">
            <v>2016</v>
          </cell>
          <cell r="C77" t="str">
            <v>טפול בילד בקהילה</v>
          </cell>
          <cell r="D77">
            <v>400000</v>
          </cell>
          <cell r="E77">
            <v>327643</v>
          </cell>
        </row>
        <row r="78">
          <cell r="A78">
            <v>1343510930</v>
          </cell>
          <cell r="B78">
            <v>2016</v>
          </cell>
          <cell r="C78" t="str">
            <v>יצירת קשר הורים ילדים</v>
          </cell>
          <cell r="D78">
            <v>1300</v>
          </cell>
          <cell r="E78">
            <v>276</v>
          </cell>
        </row>
        <row r="79">
          <cell r="A79">
            <v>1343800930</v>
          </cell>
          <cell r="B79">
            <v>2016</v>
          </cell>
          <cell r="C79" t="str">
            <v>אחזקת ילדים בפנמי</v>
          </cell>
          <cell r="D79">
            <v>376000</v>
          </cell>
          <cell r="E79">
            <v>310351</v>
          </cell>
        </row>
        <row r="80">
          <cell r="A80">
            <v>1343800931</v>
          </cell>
          <cell r="B80">
            <v>2016</v>
          </cell>
          <cell r="C80" t="str">
            <v>תכנית עם הפנים לקהיל</v>
          </cell>
          <cell r="D80">
            <v>30000</v>
          </cell>
        </row>
        <row r="81">
          <cell r="A81">
            <v>1343900930</v>
          </cell>
          <cell r="B81">
            <v>2016</v>
          </cell>
          <cell r="C81" t="str">
            <v>ילדים מעון יום</v>
          </cell>
          <cell r="D81">
            <v>280000</v>
          </cell>
          <cell r="E81">
            <v>204802</v>
          </cell>
        </row>
        <row r="82">
          <cell r="A82">
            <v>1343910930</v>
          </cell>
          <cell r="B82">
            <v>2016</v>
          </cell>
          <cell r="C82" t="str">
            <v>תוכנית לאומית לילדים ונוער בסיכון</v>
          </cell>
          <cell r="D82">
            <v>287000</v>
          </cell>
        </row>
        <row r="83">
          <cell r="A83">
            <v>1344400930</v>
          </cell>
          <cell r="B83">
            <v>2016</v>
          </cell>
          <cell r="C83" t="str">
            <v>טפול בזקן בקהילה</v>
          </cell>
          <cell r="D83">
            <v>29300</v>
          </cell>
        </row>
        <row r="84">
          <cell r="A84">
            <v>1344500910</v>
          </cell>
          <cell r="B84">
            <v>2016</v>
          </cell>
          <cell r="C84" t="str">
            <v>מועדנים מועשרים</v>
          </cell>
          <cell r="D84">
            <v>78700</v>
          </cell>
          <cell r="E84">
            <v>70843</v>
          </cell>
        </row>
        <row r="85">
          <cell r="A85">
            <v>1344500930</v>
          </cell>
          <cell r="B85">
            <v>2016</v>
          </cell>
          <cell r="C85" t="str">
            <v>מועדון מועשר</v>
          </cell>
          <cell r="D85">
            <v>180000</v>
          </cell>
        </row>
        <row r="86">
          <cell r="A86">
            <v>1345100930</v>
          </cell>
          <cell r="B86">
            <v>2016</v>
          </cell>
          <cell r="C86" t="str">
            <v>סדורי מפגרים במוס</v>
          </cell>
          <cell r="D86">
            <v>1087000</v>
          </cell>
          <cell r="E86">
            <v>806407</v>
          </cell>
        </row>
        <row r="87">
          <cell r="A87">
            <v>1345110930</v>
          </cell>
          <cell r="B87">
            <v>2016</v>
          </cell>
          <cell r="C87" t="str">
            <v>טיפול בהורים ובילדיה</v>
          </cell>
          <cell r="D87">
            <v>5000</v>
          </cell>
        </row>
        <row r="88">
          <cell r="A88">
            <v>1345200930</v>
          </cell>
          <cell r="B88">
            <v>2016</v>
          </cell>
          <cell r="C88" t="str">
            <v>מפגרים במעוןטפולי</v>
          </cell>
          <cell r="D88">
            <v>180000</v>
          </cell>
          <cell r="E88">
            <v>109067</v>
          </cell>
        </row>
        <row r="89">
          <cell r="A89">
            <v>1345200931</v>
          </cell>
          <cell r="B89">
            <v>2016</v>
          </cell>
          <cell r="C89" t="str">
            <v>מעשי"ם</v>
          </cell>
          <cell r="D89">
            <v>550000</v>
          </cell>
          <cell r="E89">
            <v>383855</v>
          </cell>
        </row>
        <row r="90">
          <cell r="A90">
            <v>1345300932</v>
          </cell>
          <cell r="B90">
            <v>2016</v>
          </cell>
          <cell r="C90" t="str">
            <v>הסעות למעון יום למפגר</v>
          </cell>
          <cell r="D90">
            <v>22000</v>
          </cell>
          <cell r="E90">
            <v>19185</v>
          </cell>
        </row>
        <row r="91">
          <cell r="A91">
            <v>1346300931</v>
          </cell>
          <cell r="B91">
            <v>2016</v>
          </cell>
          <cell r="C91" t="str">
            <v>הדרכת עוור ובני ביתו</v>
          </cell>
          <cell r="D91">
            <v>5000</v>
          </cell>
        </row>
        <row r="92">
          <cell r="A92">
            <v>1346400930</v>
          </cell>
          <cell r="B92">
            <v>2016</v>
          </cell>
          <cell r="C92" t="str">
            <v>מפעלי שיקום לעוור</v>
          </cell>
          <cell r="D92">
            <v>7000</v>
          </cell>
        </row>
        <row r="93">
          <cell r="A93">
            <v>1346600930</v>
          </cell>
          <cell r="B93">
            <v>2016</v>
          </cell>
          <cell r="C93" t="str">
            <v>תעסוקה מוגנת למוג</v>
          </cell>
          <cell r="D93">
            <v>23300</v>
          </cell>
          <cell r="E93">
            <v>8217</v>
          </cell>
        </row>
        <row r="94">
          <cell r="A94">
            <v>1346700930</v>
          </cell>
          <cell r="B94">
            <v>2016</v>
          </cell>
          <cell r="C94" t="str">
            <v>תעסוקה נתמכת לנכי</v>
          </cell>
          <cell r="E94">
            <v>6667</v>
          </cell>
        </row>
        <row r="95">
          <cell r="A95">
            <v>1347300932</v>
          </cell>
          <cell r="B95">
            <v>2016</v>
          </cell>
          <cell r="C95" t="str">
            <v>התמכרויות - מבוגרים</v>
          </cell>
          <cell r="D95">
            <v>0</v>
          </cell>
          <cell r="E95">
            <v>1687</v>
          </cell>
        </row>
        <row r="96">
          <cell r="A96">
            <v>1371000990</v>
          </cell>
          <cell r="B96">
            <v>2016</v>
          </cell>
          <cell r="C96" t="str">
            <v>פרוייקט סביבה נקיה / השתתפות המשרד</v>
          </cell>
          <cell r="D96">
            <v>0</v>
          </cell>
          <cell r="E96">
            <v>20096</v>
          </cell>
        </row>
        <row r="97">
          <cell r="A97">
            <v>1413100211</v>
          </cell>
          <cell r="B97">
            <v>2016</v>
          </cell>
          <cell r="C97" t="str">
            <v>מים פגורים</v>
          </cell>
          <cell r="D97">
            <v>40000</v>
          </cell>
          <cell r="E97">
            <v>20937.099999999999</v>
          </cell>
        </row>
        <row r="98">
          <cell r="A98">
            <v>1413300800</v>
          </cell>
          <cell r="B98">
            <v>2016</v>
          </cell>
          <cell r="C98" t="str">
            <v>הכנסות אחרות ממים</v>
          </cell>
          <cell r="D98">
            <v>1000</v>
          </cell>
          <cell r="E98">
            <v>244.89</v>
          </cell>
        </row>
        <row r="99">
          <cell r="A99">
            <v>1472000211</v>
          </cell>
          <cell r="B99">
            <v>2016</v>
          </cell>
          <cell r="C99" t="str">
            <v>יתרות ביוב</v>
          </cell>
          <cell r="D99">
            <v>0</v>
          </cell>
          <cell r="E99">
            <v>2029.7</v>
          </cell>
        </row>
        <row r="100">
          <cell r="A100">
            <v>1472000810</v>
          </cell>
          <cell r="B100">
            <v>2016</v>
          </cell>
          <cell r="C100" t="str">
            <v>היטל ביוב</v>
          </cell>
          <cell r="D100">
            <v>0</v>
          </cell>
          <cell r="E100">
            <v>21676.13</v>
          </cell>
        </row>
        <row r="101">
          <cell r="A101">
            <v>1513000690</v>
          </cell>
          <cell r="B101">
            <v>2016</v>
          </cell>
          <cell r="C101" t="str">
            <v>תקבולים מהחזר הוצ</v>
          </cell>
          <cell r="D101">
            <v>0</v>
          </cell>
          <cell r="E101">
            <v>15271.46</v>
          </cell>
        </row>
        <row r="102">
          <cell r="A102">
            <v>1570000265</v>
          </cell>
          <cell r="B102">
            <v>2016</v>
          </cell>
          <cell r="C102" t="str">
            <v>השת'מועצות בפנסיה</v>
          </cell>
          <cell r="D102">
            <v>89000</v>
          </cell>
          <cell r="E102">
            <v>44646</v>
          </cell>
        </row>
        <row r="103">
          <cell r="A103">
            <v>1570000269</v>
          </cell>
          <cell r="B103">
            <v>2016</v>
          </cell>
          <cell r="C103" t="str">
            <v>השת' מועצות שכר ו</v>
          </cell>
          <cell r="D103">
            <v>240000</v>
          </cell>
          <cell r="E103">
            <v>29761.599999999999</v>
          </cell>
        </row>
        <row r="104">
          <cell r="A104">
            <v>1599000000</v>
          </cell>
          <cell r="B104">
            <v>2016</v>
          </cell>
          <cell r="C104" t="str">
            <v>מחזור מלוות</v>
          </cell>
          <cell r="E104">
            <v>414</v>
          </cell>
        </row>
        <row r="105">
          <cell r="A105">
            <v>1599100910</v>
          </cell>
          <cell r="B105">
            <v>2016</v>
          </cell>
          <cell r="C105" t="str">
            <v>הכנסות כסוי גרעון</v>
          </cell>
          <cell r="D105">
            <v>0</v>
          </cell>
          <cell r="E105">
            <v>7098000</v>
          </cell>
        </row>
        <row r="106">
          <cell r="A106">
            <v>1599100990</v>
          </cell>
          <cell r="B106">
            <v>2016</v>
          </cell>
          <cell r="C106" t="str">
            <v>הכנסות מותנות</v>
          </cell>
          <cell r="D106">
            <v>1200000</v>
          </cell>
        </row>
        <row r="107">
          <cell r="A107">
            <v>1599900000</v>
          </cell>
          <cell r="B107">
            <v>2016</v>
          </cell>
          <cell r="C107" t="str">
            <v>הכנסות חד פעמיות</v>
          </cell>
          <cell r="D107">
            <v>0</v>
          </cell>
          <cell r="E107">
            <v>545213.48</v>
          </cell>
        </row>
        <row r="108">
          <cell r="E108">
            <v>31286099.390000001</v>
          </cell>
        </row>
        <row r="109">
          <cell r="A109">
            <v>1611100110</v>
          </cell>
          <cell r="B109">
            <v>2016</v>
          </cell>
          <cell r="C109" t="str">
            <v>מש.נבחרים</v>
          </cell>
          <cell r="D109">
            <v>755000</v>
          </cell>
          <cell r="E109">
            <v>487900.45</v>
          </cell>
        </row>
        <row r="110">
          <cell r="A110">
            <v>1611100511</v>
          </cell>
          <cell r="B110">
            <v>2016</v>
          </cell>
          <cell r="C110" t="str">
            <v>ראש הרשות המקומית</v>
          </cell>
          <cell r="D110">
            <v>7000</v>
          </cell>
          <cell r="E110">
            <v>4832.71</v>
          </cell>
        </row>
        <row r="111">
          <cell r="A111">
            <v>1611100512</v>
          </cell>
          <cell r="B111">
            <v>2016</v>
          </cell>
          <cell r="C111" t="str">
            <v>אש'ל ונסיעות</v>
          </cell>
          <cell r="D111">
            <v>2000</v>
          </cell>
          <cell r="E111">
            <v>1951</v>
          </cell>
        </row>
        <row r="112">
          <cell r="A112">
            <v>1611100514</v>
          </cell>
          <cell r="B112">
            <v>2016</v>
          </cell>
          <cell r="C112" t="str">
            <v>רכישת מתנות</v>
          </cell>
          <cell r="D112">
            <v>1000</v>
          </cell>
        </row>
        <row r="113">
          <cell r="A113">
            <v>1611100521</v>
          </cell>
          <cell r="B113">
            <v>2016</v>
          </cell>
          <cell r="C113" t="str">
            <v>השתלמות ראש רשות</v>
          </cell>
          <cell r="D113">
            <v>6500</v>
          </cell>
        </row>
        <row r="114">
          <cell r="A114">
            <v>1611100523</v>
          </cell>
          <cell r="B114">
            <v>2016</v>
          </cell>
          <cell r="C114" t="str">
            <v>דמי חבר מרכז</v>
          </cell>
          <cell r="D114">
            <v>10000</v>
          </cell>
        </row>
        <row r="115">
          <cell r="A115">
            <v>1611100750</v>
          </cell>
          <cell r="B115">
            <v>2016</v>
          </cell>
          <cell r="C115" t="str">
            <v>ע.קבלניות ראש המו</v>
          </cell>
          <cell r="D115">
            <v>170000</v>
          </cell>
          <cell r="E115">
            <v>29972</v>
          </cell>
        </row>
        <row r="116">
          <cell r="A116">
            <v>1611100780</v>
          </cell>
          <cell r="B116">
            <v>2016</v>
          </cell>
          <cell r="C116" t="str">
            <v>שונות ראש מועצה (עדות)</v>
          </cell>
          <cell r="D116">
            <v>25000</v>
          </cell>
          <cell r="E116">
            <v>17275</v>
          </cell>
        </row>
        <row r="117">
          <cell r="A117">
            <v>1611100800</v>
          </cell>
          <cell r="B117">
            <v>2016</v>
          </cell>
          <cell r="C117" t="str">
            <v>השתתפות באשכול גליל</v>
          </cell>
          <cell r="D117">
            <v>11000</v>
          </cell>
          <cell r="E117">
            <v>12622.5</v>
          </cell>
        </row>
        <row r="118">
          <cell r="A118">
            <v>1611100810</v>
          </cell>
          <cell r="B118">
            <v>2016</v>
          </cell>
          <cell r="C118" t="str">
            <v>האגודה למען החייל</v>
          </cell>
          <cell r="D118">
            <v>10000</v>
          </cell>
        </row>
        <row r="119">
          <cell r="A119">
            <v>1611200110</v>
          </cell>
          <cell r="B119">
            <v>2016</v>
          </cell>
          <cell r="C119" t="str">
            <v>יועצת לקידום מעמד האישה</v>
          </cell>
          <cell r="D119">
            <v>24000</v>
          </cell>
          <cell r="E119">
            <v>12319.49</v>
          </cell>
        </row>
        <row r="120">
          <cell r="A120">
            <v>1611200780</v>
          </cell>
          <cell r="B120">
            <v>2016</v>
          </cell>
          <cell r="C120" t="str">
            <v>מעמד אישה פעילות</v>
          </cell>
          <cell r="D120">
            <v>60000</v>
          </cell>
          <cell r="E120">
            <v>2069.1999999999998</v>
          </cell>
        </row>
        <row r="121">
          <cell r="A121">
            <v>1612000110</v>
          </cell>
          <cell r="B121">
            <v>2016</v>
          </cell>
          <cell r="C121" t="str">
            <v>מבקר פנים</v>
          </cell>
          <cell r="D121">
            <v>115000</v>
          </cell>
        </row>
        <row r="122">
          <cell r="A122">
            <v>1613000110</v>
          </cell>
          <cell r="B122">
            <v>2016</v>
          </cell>
          <cell r="C122" t="str">
            <v>מש.מזכיר מועצה</v>
          </cell>
          <cell r="D122">
            <v>199000</v>
          </cell>
          <cell r="E122">
            <v>128297.33</v>
          </cell>
        </row>
        <row r="123">
          <cell r="A123">
            <v>1613000580</v>
          </cell>
          <cell r="B123">
            <v>2016</v>
          </cell>
          <cell r="C123" t="str">
            <v>הוצאות ארגוניות שונות</v>
          </cell>
          <cell r="E123">
            <v>32062</v>
          </cell>
        </row>
        <row r="124">
          <cell r="A124">
            <v>1615000110</v>
          </cell>
          <cell r="B124">
            <v>2016</v>
          </cell>
          <cell r="C124" t="str">
            <v>משכורת מנגנון</v>
          </cell>
          <cell r="D124">
            <v>455000</v>
          </cell>
          <cell r="E124">
            <v>325786.34999999998</v>
          </cell>
        </row>
        <row r="125">
          <cell r="A125">
            <v>1615000410</v>
          </cell>
          <cell r="B125">
            <v>2016</v>
          </cell>
          <cell r="C125" t="str">
            <v>שכרות המועצה</v>
          </cell>
          <cell r="D125">
            <v>27500</v>
          </cell>
          <cell r="E125">
            <v>23296</v>
          </cell>
        </row>
        <row r="126">
          <cell r="A126">
            <v>1615000420</v>
          </cell>
          <cell r="B126">
            <v>2016</v>
          </cell>
          <cell r="C126" t="str">
            <v>תקונים</v>
          </cell>
          <cell r="D126">
            <v>10000</v>
          </cell>
          <cell r="E126">
            <v>10058</v>
          </cell>
        </row>
        <row r="127">
          <cell r="A127">
            <v>1615000430</v>
          </cell>
          <cell r="B127">
            <v>2016</v>
          </cell>
          <cell r="C127" t="str">
            <v>חשמל מים חומרי נק</v>
          </cell>
          <cell r="D127">
            <v>53000</v>
          </cell>
          <cell r="E127">
            <v>67427.3</v>
          </cell>
        </row>
        <row r="128">
          <cell r="A128">
            <v>1615000450</v>
          </cell>
          <cell r="B128">
            <v>2016</v>
          </cell>
          <cell r="C128" t="str">
            <v>רהוט ואחזקתו</v>
          </cell>
          <cell r="D128">
            <v>12000</v>
          </cell>
          <cell r="E128">
            <v>2062.1999999999998</v>
          </cell>
        </row>
        <row r="129">
          <cell r="A129">
            <v>1615000470</v>
          </cell>
          <cell r="B129">
            <v>2016</v>
          </cell>
          <cell r="C129" t="str">
            <v>מכונות משרד והחזק</v>
          </cell>
          <cell r="D129">
            <v>20000</v>
          </cell>
          <cell r="E129">
            <v>14368.3</v>
          </cell>
        </row>
        <row r="130">
          <cell r="A130">
            <v>1615000511</v>
          </cell>
          <cell r="B130">
            <v>2016</v>
          </cell>
          <cell r="C130" t="str">
            <v>מנגנון אירוח וכיב</v>
          </cell>
          <cell r="D130">
            <v>16000</v>
          </cell>
          <cell r="E130">
            <v>11808.98</v>
          </cell>
        </row>
        <row r="131">
          <cell r="A131">
            <v>1615000512</v>
          </cell>
          <cell r="B131">
            <v>2016</v>
          </cell>
          <cell r="C131" t="str">
            <v>מנגנון אש"ל ונסיו</v>
          </cell>
          <cell r="D131">
            <v>2000</v>
          </cell>
          <cell r="E131">
            <v>1784.7</v>
          </cell>
        </row>
        <row r="132">
          <cell r="A132">
            <v>1615000521</v>
          </cell>
          <cell r="B132">
            <v>2016</v>
          </cell>
          <cell r="C132" t="str">
            <v>השמלמות עובדים</v>
          </cell>
          <cell r="D132">
            <v>30000</v>
          </cell>
          <cell r="E132">
            <v>2330</v>
          </cell>
        </row>
        <row r="133">
          <cell r="A133">
            <v>1615000540</v>
          </cell>
          <cell r="B133">
            <v>2016</v>
          </cell>
          <cell r="C133" t="str">
            <v>טלפון</v>
          </cell>
          <cell r="D133">
            <v>54000</v>
          </cell>
          <cell r="E133">
            <v>40247.339999999997</v>
          </cell>
        </row>
        <row r="134">
          <cell r="A134">
            <v>1615000550</v>
          </cell>
          <cell r="B134">
            <v>2016</v>
          </cell>
          <cell r="C134" t="str">
            <v>מנגנון הוצאות פרס</v>
          </cell>
          <cell r="D134">
            <v>23000</v>
          </cell>
          <cell r="E134">
            <v>14755</v>
          </cell>
        </row>
        <row r="135">
          <cell r="A135">
            <v>1615000560</v>
          </cell>
          <cell r="B135">
            <v>2016</v>
          </cell>
          <cell r="C135" t="str">
            <v>מנגנון הוצאות משר</v>
          </cell>
          <cell r="D135">
            <v>40000</v>
          </cell>
          <cell r="E135">
            <v>30991.42</v>
          </cell>
        </row>
        <row r="136">
          <cell r="A136">
            <v>1617000750</v>
          </cell>
          <cell r="B136">
            <v>2016</v>
          </cell>
          <cell r="C136" t="str">
            <v>ע.קבלניות</v>
          </cell>
          <cell r="D136">
            <v>300000</v>
          </cell>
          <cell r="E136">
            <v>184167.17</v>
          </cell>
        </row>
        <row r="137">
          <cell r="A137">
            <v>1617000850</v>
          </cell>
          <cell r="B137">
            <v>2016</v>
          </cell>
          <cell r="C137" t="str">
            <v>הוצ תביעות משפטיות</v>
          </cell>
          <cell r="D137">
            <v>90000</v>
          </cell>
          <cell r="E137">
            <v>45092</v>
          </cell>
        </row>
        <row r="138">
          <cell r="A138">
            <v>1621100110</v>
          </cell>
          <cell r="B138">
            <v>2016</v>
          </cell>
          <cell r="C138" t="str">
            <v>משכורת גזבר</v>
          </cell>
          <cell r="D138">
            <v>390000</v>
          </cell>
          <cell r="E138">
            <v>261766.44</v>
          </cell>
        </row>
        <row r="139">
          <cell r="A139">
            <v>1621100523</v>
          </cell>
          <cell r="B139">
            <v>2016</v>
          </cell>
          <cell r="C139" t="str">
            <v>דמי חבר והשתלמות</v>
          </cell>
          <cell r="D139">
            <v>10000</v>
          </cell>
          <cell r="E139">
            <v>6000</v>
          </cell>
        </row>
        <row r="140">
          <cell r="A140">
            <v>1621100750</v>
          </cell>
          <cell r="B140">
            <v>2016</v>
          </cell>
          <cell r="C140" t="str">
            <v>הנהלת הגזברות עבו</v>
          </cell>
          <cell r="D140">
            <v>310000</v>
          </cell>
          <cell r="E140">
            <v>187200</v>
          </cell>
        </row>
        <row r="141">
          <cell r="A141">
            <v>1621300110</v>
          </cell>
          <cell r="B141">
            <v>2016</v>
          </cell>
          <cell r="C141" t="str">
            <v>משכורת הנ"ח</v>
          </cell>
          <cell r="D141">
            <v>304000</v>
          </cell>
          <cell r="E141">
            <v>215809.05</v>
          </cell>
        </row>
        <row r="142">
          <cell r="A142">
            <v>1621300570</v>
          </cell>
          <cell r="B142">
            <v>2016</v>
          </cell>
          <cell r="C142" t="str">
            <v>מיכון ומחשוב</v>
          </cell>
          <cell r="D142">
            <v>210000</v>
          </cell>
          <cell r="E142">
            <v>143720.68</v>
          </cell>
        </row>
        <row r="143">
          <cell r="A143">
            <v>1623100110</v>
          </cell>
          <cell r="B143">
            <v>2016</v>
          </cell>
          <cell r="C143" t="str">
            <v>משכורת-גביה</v>
          </cell>
          <cell r="D143">
            <v>313000</v>
          </cell>
          <cell r="E143">
            <v>242790.23</v>
          </cell>
        </row>
        <row r="144">
          <cell r="A144">
            <v>1623100750</v>
          </cell>
          <cell r="B144">
            <v>2016</v>
          </cell>
          <cell r="C144" t="str">
            <v>עבודות גביה קבלני</v>
          </cell>
          <cell r="E144">
            <v>81542.5</v>
          </cell>
        </row>
        <row r="145">
          <cell r="A145">
            <v>1631000610</v>
          </cell>
          <cell r="B145">
            <v>2016</v>
          </cell>
          <cell r="C145" t="str">
            <v>עמלות</v>
          </cell>
          <cell r="D145">
            <v>267000</v>
          </cell>
          <cell r="E145">
            <v>162113.5</v>
          </cell>
        </row>
        <row r="146">
          <cell r="A146">
            <v>1632000610</v>
          </cell>
          <cell r="B146">
            <v>2016</v>
          </cell>
          <cell r="C146" t="str">
            <v>עמלת עיקולים</v>
          </cell>
          <cell r="D146">
            <v>15000</v>
          </cell>
          <cell r="E146">
            <v>20668.5</v>
          </cell>
        </row>
        <row r="147">
          <cell r="A147">
            <v>1632000620</v>
          </cell>
          <cell r="B147">
            <v>2016</v>
          </cell>
          <cell r="C147" t="str">
            <v>הוצאות מימון ריבי</v>
          </cell>
          <cell r="D147">
            <v>0</v>
          </cell>
          <cell r="E147">
            <v>105443.29</v>
          </cell>
        </row>
        <row r="148">
          <cell r="A148">
            <v>1632000630</v>
          </cell>
          <cell r="B148">
            <v>2016</v>
          </cell>
          <cell r="C148" t="str">
            <v>רבית מוסדות</v>
          </cell>
          <cell r="E148">
            <v>43836</v>
          </cell>
        </row>
        <row r="149">
          <cell r="A149">
            <v>1632000650</v>
          </cell>
          <cell r="B149">
            <v>2016</v>
          </cell>
          <cell r="C149" t="str">
            <v>רית ספקים</v>
          </cell>
          <cell r="D149">
            <v>600000</v>
          </cell>
          <cell r="E149">
            <v>20000</v>
          </cell>
        </row>
        <row r="150">
          <cell r="A150">
            <v>1632000660</v>
          </cell>
          <cell r="B150">
            <v>2016</v>
          </cell>
          <cell r="C150" t="str">
            <v>רבית ספקים איחוד</v>
          </cell>
          <cell r="E150">
            <v>200819</v>
          </cell>
        </row>
        <row r="151">
          <cell r="A151">
            <v>1648000691</v>
          </cell>
          <cell r="B151">
            <v>2016</v>
          </cell>
          <cell r="C151" t="str">
            <v>פ.מלוות קרן</v>
          </cell>
          <cell r="D151">
            <v>1600000</v>
          </cell>
          <cell r="E151">
            <v>1776880.83</v>
          </cell>
        </row>
        <row r="152">
          <cell r="A152">
            <v>1648000692</v>
          </cell>
          <cell r="B152">
            <v>2016</v>
          </cell>
          <cell r="C152" t="str">
            <v>פ מלוות ריבית</v>
          </cell>
          <cell r="D152">
            <v>750000</v>
          </cell>
          <cell r="E152">
            <v>130181.07</v>
          </cell>
        </row>
        <row r="153">
          <cell r="A153">
            <v>1648000693</v>
          </cell>
          <cell r="B153">
            <v>2016</v>
          </cell>
          <cell r="C153" t="str">
            <v>פ מלוות-הצמדה</v>
          </cell>
          <cell r="D153">
            <v>156000</v>
          </cell>
          <cell r="E153">
            <v>102548.3</v>
          </cell>
        </row>
        <row r="154">
          <cell r="A154">
            <v>1649200691</v>
          </cell>
          <cell r="B154">
            <v>2016</v>
          </cell>
          <cell r="C154" t="str">
            <v>פ.מ.קרן</v>
          </cell>
          <cell r="D154">
            <v>107500</v>
          </cell>
          <cell r="E154">
            <v>2623.72</v>
          </cell>
        </row>
        <row r="155">
          <cell r="A155">
            <v>1649200692</v>
          </cell>
          <cell r="B155">
            <v>2016</v>
          </cell>
          <cell r="C155" t="str">
            <v>פ.מ. ריבית</v>
          </cell>
          <cell r="D155">
            <v>62000</v>
          </cell>
          <cell r="E155">
            <v>12662.41</v>
          </cell>
        </row>
        <row r="156">
          <cell r="A156">
            <v>1649200693</v>
          </cell>
          <cell r="B156">
            <v>2016</v>
          </cell>
          <cell r="C156" t="str">
            <v>פ.מ. הצמדה</v>
          </cell>
          <cell r="D156">
            <v>15000</v>
          </cell>
          <cell r="E156">
            <v>378.8</v>
          </cell>
        </row>
        <row r="157">
          <cell r="A157">
            <v>1712200110</v>
          </cell>
          <cell r="B157">
            <v>2016</v>
          </cell>
          <cell r="C157" t="str">
            <v>ניקוי רחובות שכר</v>
          </cell>
          <cell r="D157">
            <v>52000</v>
          </cell>
          <cell r="E157">
            <v>34631.199999999997</v>
          </cell>
        </row>
        <row r="158">
          <cell r="A158">
            <v>1712200750</v>
          </cell>
          <cell r="B158">
            <v>2016</v>
          </cell>
          <cell r="C158" t="str">
            <v>יקוי רחובות קבלני</v>
          </cell>
          <cell r="D158">
            <v>7000</v>
          </cell>
          <cell r="E158">
            <v>6847</v>
          </cell>
        </row>
        <row r="159">
          <cell r="A159">
            <v>1712300750</v>
          </cell>
          <cell r="B159">
            <v>2016</v>
          </cell>
          <cell r="C159" t="str">
            <v>פנוי אשפה</v>
          </cell>
          <cell r="D159">
            <v>1680000</v>
          </cell>
          <cell r="E159">
            <v>980846</v>
          </cell>
        </row>
        <row r="160">
          <cell r="A160">
            <v>1712300751</v>
          </cell>
          <cell r="B160">
            <v>2016</v>
          </cell>
          <cell r="C160" t="str">
            <v>ניקוי אתרי פסולת</v>
          </cell>
          <cell r="D160">
            <v>3000</v>
          </cell>
        </row>
        <row r="161">
          <cell r="A161">
            <v>1712300930</v>
          </cell>
          <cell r="B161">
            <v>2016</v>
          </cell>
          <cell r="C161" t="str">
            <v>כלים וציוד</v>
          </cell>
          <cell r="D161">
            <v>34000</v>
          </cell>
          <cell r="E161">
            <v>29753.66</v>
          </cell>
        </row>
        <row r="162">
          <cell r="A162">
            <v>1713000110</v>
          </cell>
          <cell r="B162">
            <v>2016</v>
          </cell>
          <cell r="C162" t="str">
            <v>משכורת תברואה</v>
          </cell>
          <cell r="D162">
            <v>173000</v>
          </cell>
          <cell r="E162">
            <v>112926.96</v>
          </cell>
        </row>
        <row r="163">
          <cell r="A163">
            <v>1714000110</v>
          </cell>
          <cell r="B163">
            <v>2016</v>
          </cell>
          <cell r="C163" t="str">
            <v>משכורת ויטרנר</v>
          </cell>
          <cell r="D163">
            <v>317500</v>
          </cell>
          <cell r="E163">
            <v>208855.31</v>
          </cell>
        </row>
        <row r="164">
          <cell r="A164">
            <v>1714300750</v>
          </cell>
          <cell r="B164">
            <v>2016</v>
          </cell>
          <cell r="C164" t="str">
            <v>מלחמה בכלבת</v>
          </cell>
          <cell r="D164">
            <v>1000</v>
          </cell>
        </row>
        <row r="165">
          <cell r="A165">
            <v>1715000110</v>
          </cell>
          <cell r="B165">
            <v>2016</v>
          </cell>
          <cell r="C165" t="str">
            <v>משכורת-רסוס</v>
          </cell>
          <cell r="D165">
            <v>51000</v>
          </cell>
          <cell r="E165">
            <v>36688.400000000001</v>
          </cell>
        </row>
        <row r="166">
          <cell r="A166">
            <v>1715200720</v>
          </cell>
          <cell r="B166">
            <v>2016</v>
          </cell>
          <cell r="C166" t="str">
            <v>חומרים</v>
          </cell>
          <cell r="D166">
            <v>3000</v>
          </cell>
        </row>
        <row r="167">
          <cell r="A167">
            <v>1715200750</v>
          </cell>
          <cell r="B167">
            <v>2016</v>
          </cell>
          <cell r="C167" t="str">
            <v>עבודות קבלניות</v>
          </cell>
          <cell r="D167">
            <v>17000</v>
          </cell>
          <cell r="E167">
            <v>15850</v>
          </cell>
        </row>
        <row r="168">
          <cell r="A168">
            <v>1721000110</v>
          </cell>
          <cell r="B168">
            <v>2016</v>
          </cell>
          <cell r="C168" t="str">
            <v>משכרת עיר ללא אלימות</v>
          </cell>
          <cell r="D168">
            <v>150000</v>
          </cell>
          <cell r="E168">
            <v>79218.28</v>
          </cell>
        </row>
        <row r="169">
          <cell r="A169">
            <v>1721000760</v>
          </cell>
          <cell r="B169">
            <v>2016</v>
          </cell>
          <cell r="C169" t="str">
            <v>תחנת משטרה</v>
          </cell>
          <cell r="D169">
            <v>2800</v>
          </cell>
          <cell r="E169">
            <v>3269.06</v>
          </cell>
        </row>
        <row r="170">
          <cell r="A170">
            <v>1721000780</v>
          </cell>
          <cell r="B170">
            <v>2016</v>
          </cell>
          <cell r="C170" t="str">
            <v>עיר ללא אלימות פעילות</v>
          </cell>
          <cell r="D170">
            <v>191000</v>
          </cell>
          <cell r="E170">
            <v>2400</v>
          </cell>
        </row>
        <row r="171">
          <cell r="A171">
            <v>1722000110</v>
          </cell>
          <cell r="B171">
            <v>2016</v>
          </cell>
          <cell r="C171" t="str">
            <v>משכורת קב"ט</v>
          </cell>
          <cell r="D171">
            <v>136999.67000000001</v>
          </cell>
          <cell r="E171">
            <v>101492.45</v>
          </cell>
        </row>
        <row r="172">
          <cell r="A172">
            <v>1722000751</v>
          </cell>
          <cell r="B172">
            <v>2016</v>
          </cell>
          <cell r="C172" t="str">
            <v>שמירה ובטחון-קבלניות</v>
          </cell>
          <cell r="D172">
            <v>100000</v>
          </cell>
          <cell r="E172">
            <v>2775</v>
          </cell>
        </row>
        <row r="173">
          <cell r="A173">
            <v>1722100110</v>
          </cell>
          <cell r="B173">
            <v>2016</v>
          </cell>
          <cell r="C173" t="str">
            <v>שמירה שכר</v>
          </cell>
          <cell r="D173">
            <v>75000</v>
          </cell>
          <cell r="E173">
            <v>26646.799999999999</v>
          </cell>
        </row>
        <row r="174">
          <cell r="A174">
            <v>1723000810</v>
          </cell>
          <cell r="B174">
            <v>2016</v>
          </cell>
          <cell r="C174" t="str">
            <v>השתתפות בהג"א</v>
          </cell>
          <cell r="D174">
            <v>47400</v>
          </cell>
        </row>
        <row r="175">
          <cell r="A175">
            <v>1723100810</v>
          </cell>
          <cell r="B175">
            <v>2016</v>
          </cell>
          <cell r="C175" t="str">
            <v>השתתפות בהג""א מקומי"</v>
          </cell>
          <cell r="D175">
            <v>120000</v>
          </cell>
          <cell r="E175">
            <v>44976.44</v>
          </cell>
        </row>
        <row r="176">
          <cell r="A176">
            <v>1724000830</v>
          </cell>
          <cell r="B176">
            <v>2016</v>
          </cell>
          <cell r="C176" t="str">
            <v>כבוי אש השתתפות</v>
          </cell>
          <cell r="D176">
            <v>62300</v>
          </cell>
        </row>
        <row r="177">
          <cell r="A177">
            <v>1731000110</v>
          </cell>
          <cell r="B177">
            <v>2016</v>
          </cell>
          <cell r="C177" t="str">
            <v>משכורת מהנדס</v>
          </cell>
          <cell r="D177">
            <v>233000</v>
          </cell>
          <cell r="E177">
            <v>163432.04999999999</v>
          </cell>
        </row>
        <row r="178">
          <cell r="A178">
            <v>1731000540</v>
          </cell>
          <cell r="B178">
            <v>2016</v>
          </cell>
          <cell r="C178" t="str">
            <v>ציוד משרדי/מהנדס המועצה</v>
          </cell>
          <cell r="D178">
            <v>3600</v>
          </cell>
          <cell r="E178">
            <v>3309</v>
          </cell>
        </row>
        <row r="179">
          <cell r="A179">
            <v>1731000560</v>
          </cell>
          <cell r="B179">
            <v>2016</v>
          </cell>
          <cell r="C179" t="str">
            <v>אחר מהנדס הרשות</v>
          </cell>
          <cell r="D179">
            <v>2500</v>
          </cell>
          <cell r="E179">
            <v>532</v>
          </cell>
        </row>
        <row r="180">
          <cell r="A180">
            <v>1732000750</v>
          </cell>
          <cell r="B180">
            <v>2016</v>
          </cell>
          <cell r="C180" t="str">
            <v>תכנון עב קבלניות</v>
          </cell>
          <cell r="D180">
            <v>12700</v>
          </cell>
          <cell r="E180">
            <v>3006</v>
          </cell>
        </row>
        <row r="181">
          <cell r="A181">
            <v>1732001750</v>
          </cell>
          <cell r="B181">
            <v>2016</v>
          </cell>
          <cell r="C181" t="str">
            <v>עבודות קבלניות מח' הנדסה</v>
          </cell>
          <cell r="E181">
            <v>3450</v>
          </cell>
        </row>
        <row r="182">
          <cell r="A182">
            <v>1733000750</v>
          </cell>
          <cell r="B182">
            <v>2016</v>
          </cell>
          <cell r="C182" t="str">
            <v>ועדה לתכנון ובניה</v>
          </cell>
          <cell r="D182">
            <v>350000</v>
          </cell>
        </row>
        <row r="183">
          <cell r="A183">
            <v>1734001750</v>
          </cell>
          <cell r="B183">
            <v>2016</v>
          </cell>
          <cell r="C183" t="str">
            <v>הש דרכים חקלאיות</v>
          </cell>
          <cell r="D183">
            <v>4500</v>
          </cell>
        </row>
        <row r="184">
          <cell r="A184">
            <v>1742000110</v>
          </cell>
          <cell r="B184">
            <v>2016</v>
          </cell>
          <cell r="C184" t="str">
            <v>דרכים ומדרכות שכר</v>
          </cell>
          <cell r="D184">
            <v>346000</v>
          </cell>
          <cell r="E184">
            <v>241644.75</v>
          </cell>
        </row>
        <row r="185">
          <cell r="A185">
            <v>1742000442</v>
          </cell>
          <cell r="B185">
            <v>2016</v>
          </cell>
          <cell r="C185" t="str">
            <v>שפוי נזקים</v>
          </cell>
          <cell r="D185">
            <v>150000</v>
          </cell>
          <cell r="E185">
            <v>34578</v>
          </cell>
        </row>
        <row r="186">
          <cell r="A186">
            <v>1742000720</v>
          </cell>
          <cell r="B186">
            <v>2016</v>
          </cell>
          <cell r="C186" t="str">
            <v>חמרים</v>
          </cell>
          <cell r="D186">
            <v>11000</v>
          </cell>
          <cell r="E186">
            <v>8881</v>
          </cell>
        </row>
        <row r="187">
          <cell r="A187">
            <v>1742000740</v>
          </cell>
          <cell r="B187">
            <v>2016</v>
          </cell>
          <cell r="C187" t="str">
            <v>כלים מכשירים וציו</v>
          </cell>
          <cell r="D187">
            <v>8000</v>
          </cell>
          <cell r="E187">
            <v>528</v>
          </cell>
        </row>
        <row r="188">
          <cell r="A188">
            <v>1742000750</v>
          </cell>
          <cell r="B188">
            <v>2016</v>
          </cell>
          <cell r="C188" t="str">
            <v>עבודות קבלניות</v>
          </cell>
          <cell r="D188">
            <v>41000</v>
          </cell>
          <cell r="E188">
            <v>37829.199999999997</v>
          </cell>
        </row>
        <row r="189">
          <cell r="A189">
            <v>1742100110</v>
          </cell>
          <cell r="B189">
            <v>2016</v>
          </cell>
          <cell r="C189" t="str">
            <v>מנהל רכש</v>
          </cell>
          <cell r="D189">
            <v>45800</v>
          </cell>
          <cell r="E189">
            <v>30042.92</v>
          </cell>
        </row>
        <row r="190">
          <cell r="A190">
            <v>1743000430</v>
          </cell>
          <cell r="B190">
            <v>2016</v>
          </cell>
          <cell r="C190" t="str">
            <v>מאור רחובות</v>
          </cell>
          <cell r="D190">
            <v>257000</v>
          </cell>
          <cell r="E190">
            <v>181412.77</v>
          </cell>
        </row>
        <row r="191">
          <cell r="A191">
            <v>1743000750</v>
          </cell>
          <cell r="B191">
            <v>2016</v>
          </cell>
          <cell r="C191" t="str">
            <v>עבודות קבלניות</v>
          </cell>
          <cell r="D191">
            <v>7200</v>
          </cell>
          <cell r="E191">
            <v>2692</v>
          </cell>
        </row>
        <row r="192">
          <cell r="A192">
            <v>1744000740</v>
          </cell>
          <cell r="B192">
            <v>2016</v>
          </cell>
          <cell r="C192" t="str">
            <v>ציוד בטחות בדרכים</v>
          </cell>
          <cell r="D192">
            <v>0</v>
          </cell>
          <cell r="E192">
            <v>3463.2</v>
          </cell>
        </row>
        <row r="193">
          <cell r="A193">
            <v>1744100740</v>
          </cell>
          <cell r="B193">
            <v>2016</v>
          </cell>
          <cell r="C193" t="str">
            <v>בטיחות בדרכים</v>
          </cell>
          <cell r="D193">
            <v>13000</v>
          </cell>
          <cell r="E193">
            <v>4095</v>
          </cell>
        </row>
        <row r="194">
          <cell r="A194">
            <v>1745000830</v>
          </cell>
          <cell r="B194">
            <v>2016</v>
          </cell>
          <cell r="C194" t="str">
            <v>רשות ניקוז</v>
          </cell>
          <cell r="D194">
            <v>70000</v>
          </cell>
        </row>
        <row r="195">
          <cell r="A195">
            <v>1752000510</v>
          </cell>
          <cell r="B195">
            <v>2016</v>
          </cell>
          <cell r="C195" t="str">
            <v>חגיגות וטכסים</v>
          </cell>
          <cell r="D195">
            <v>135000</v>
          </cell>
          <cell r="E195">
            <v>120455</v>
          </cell>
        </row>
        <row r="196">
          <cell r="A196">
            <v>1767000440</v>
          </cell>
          <cell r="B196">
            <v>2016</v>
          </cell>
          <cell r="C196" t="str">
            <v>בטוחים</v>
          </cell>
          <cell r="D196">
            <v>275000</v>
          </cell>
          <cell r="E196">
            <v>18614</v>
          </cell>
        </row>
        <row r="197">
          <cell r="A197">
            <v>1769000110</v>
          </cell>
          <cell r="B197">
            <v>2016</v>
          </cell>
          <cell r="C197" t="str">
            <v>מתאם סמים ישובי</v>
          </cell>
          <cell r="D197">
            <v>0</v>
          </cell>
          <cell r="E197">
            <v>2903.18</v>
          </cell>
        </row>
        <row r="198">
          <cell r="A198">
            <v>1811000110</v>
          </cell>
          <cell r="B198">
            <v>2016</v>
          </cell>
          <cell r="C198" t="str">
            <v>חינוך מינהל</v>
          </cell>
          <cell r="D198">
            <v>324000</v>
          </cell>
          <cell r="E198">
            <v>240315.34</v>
          </cell>
        </row>
        <row r="199">
          <cell r="A199">
            <v>1811000430</v>
          </cell>
          <cell r="B199">
            <v>2016</v>
          </cell>
          <cell r="C199" t="str">
            <v>חינוך</v>
          </cell>
          <cell r="D199">
            <v>2700</v>
          </cell>
        </row>
        <row r="200">
          <cell r="A200">
            <v>1811000450</v>
          </cell>
          <cell r="B200">
            <v>2016</v>
          </cell>
          <cell r="C200" t="str">
            <v>רהוט משרדי</v>
          </cell>
          <cell r="D200">
            <v>7400</v>
          </cell>
        </row>
        <row r="201">
          <cell r="A201">
            <v>1811000540</v>
          </cell>
          <cell r="B201">
            <v>2016</v>
          </cell>
          <cell r="C201" t="str">
            <v>טלפון</v>
          </cell>
          <cell r="D201">
            <v>1500</v>
          </cell>
          <cell r="E201">
            <v>1252.6400000000001</v>
          </cell>
        </row>
        <row r="202">
          <cell r="A202">
            <v>1811000560</v>
          </cell>
          <cell r="B202">
            <v>2016</v>
          </cell>
          <cell r="C202" t="str">
            <v>הוצאות משרדיות</v>
          </cell>
          <cell r="D202">
            <v>5300</v>
          </cell>
          <cell r="E202">
            <v>921.51</v>
          </cell>
        </row>
        <row r="203">
          <cell r="A203">
            <v>1812200110</v>
          </cell>
          <cell r="B203">
            <v>2016</v>
          </cell>
          <cell r="C203" t="str">
            <v>מש. ע.גננות</v>
          </cell>
          <cell r="D203">
            <v>260000</v>
          </cell>
          <cell r="E203">
            <v>198965.56</v>
          </cell>
        </row>
        <row r="204">
          <cell r="A204">
            <v>1812200430</v>
          </cell>
          <cell r="B204">
            <v>2016</v>
          </cell>
          <cell r="C204" t="str">
            <v>חשמל ומים גנים</v>
          </cell>
          <cell r="D204">
            <v>6500</v>
          </cell>
          <cell r="E204">
            <v>6242.46</v>
          </cell>
        </row>
        <row r="205">
          <cell r="A205">
            <v>1812200450</v>
          </cell>
          <cell r="B205">
            <v>2016</v>
          </cell>
          <cell r="C205" t="str">
            <v>רהוט וציוד</v>
          </cell>
          <cell r="D205">
            <v>13000</v>
          </cell>
          <cell r="E205">
            <v>10500</v>
          </cell>
        </row>
        <row r="206">
          <cell r="A206">
            <v>1812200511</v>
          </cell>
          <cell r="B206">
            <v>2016</v>
          </cell>
          <cell r="C206" t="str">
            <v>חומרי נקיון גנים</v>
          </cell>
          <cell r="D206">
            <v>10000</v>
          </cell>
          <cell r="E206">
            <v>9917.5</v>
          </cell>
        </row>
        <row r="207">
          <cell r="A207">
            <v>1812200560</v>
          </cell>
          <cell r="B207">
            <v>2016</v>
          </cell>
          <cell r="C207" t="str">
            <v>מכשירי כתיבה</v>
          </cell>
          <cell r="D207">
            <v>28000</v>
          </cell>
          <cell r="E207">
            <v>27161</v>
          </cell>
        </row>
        <row r="208">
          <cell r="A208">
            <v>1812200750</v>
          </cell>
          <cell r="B208">
            <v>2016</v>
          </cell>
          <cell r="C208" t="str">
            <v>ע.קבלניות גני ילד</v>
          </cell>
          <cell r="D208">
            <v>39000</v>
          </cell>
          <cell r="E208">
            <v>15381.47</v>
          </cell>
        </row>
        <row r="209">
          <cell r="A209">
            <v>1812200870</v>
          </cell>
          <cell r="B209">
            <v>2016</v>
          </cell>
          <cell r="C209" t="str">
            <v>השת'בשכר גננות</v>
          </cell>
          <cell r="D209">
            <v>560000</v>
          </cell>
          <cell r="E209">
            <v>500652.12</v>
          </cell>
        </row>
        <row r="210">
          <cell r="A210">
            <v>1812300110</v>
          </cell>
          <cell r="B210">
            <v>2016</v>
          </cell>
          <cell r="C210" t="str">
            <v>שכר טרום חובה</v>
          </cell>
          <cell r="D210">
            <v>442000</v>
          </cell>
          <cell r="E210">
            <v>598613.43000000005</v>
          </cell>
        </row>
        <row r="211">
          <cell r="A211">
            <v>1812300410</v>
          </cell>
          <cell r="B211">
            <v>2016</v>
          </cell>
          <cell r="C211" t="str">
            <v>גנים</v>
          </cell>
          <cell r="D211">
            <v>10000</v>
          </cell>
          <cell r="E211">
            <v>3820.66</v>
          </cell>
        </row>
        <row r="212">
          <cell r="A212">
            <v>1812300440</v>
          </cell>
          <cell r="B212">
            <v>2016</v>
          </cell>
          <cell r="C212" t="str">
            <v>ביטוח תלמידים</v>
          </cell>
          <cell r="D212">
            <v>14600</v>
          </cell>
        </row>
        <row r="213">
          <cell r="A213">
            <v>1812300450</v>
          </cell>
          <cell r="B213">
            <v>2016</v>
          </cell>
          <cell r="C213" t="str">
            <v>רהוט ואחזקתו</v>
          </cell>
          <cell r="D213">
            <v>13000</v>
          </cell>
        </row>
        <row r="214">
          <cell r="A214">
            <v>1812300560</v>
          </cell>
          <cell r="B214">
            <v>2016</v>
          </cell>
          <cell r="C214" t="str">
            <v>מכשירי כתיבה</v>
          </cell>
          <cell r="D214">
            <v>20000</v>
          </cell>
          <cell r="E214">
            <v>12231</v>
          </cell>
        </row>
        <row r="215">
          <cell r="A215">
            <v>1812300740</v>
          </cell>
          <cell r="B215">
            <v>2016</v>
          </cell>
          <cell r="C215" t="str">
            <v>כלים</v>
          </cell>
          <cell r="D215">
            <v>0</v>
          </cell>
          <cell r="E215">
            <v>6000</v>
          </cell>
        </row>
        <row r="216">
          <cell r="A216">
            <v>1812300750</v>
          </cell>
          <cell r="B216">
            <v>2016</v>
          </cell>
          <cell r="C216" t="str">
            <v>ע.קבלניות גנים</v>
          </cell>
          <cell r="D216">
            <v>6500</v>
          </cell>
          <cell r="E216">
            <v>6299.73</v>
          </cell>
        </row>
        <row r="217">
          <cell r="A217">
            <v>1813200110</v>
          </cell>
          <cell r="B217">
            <v>2016</v>
          </cell>
          <cell r="C217" t="str">
            <v>ב"ס יסודיים שכר</v>
          </cell>
          <cell r="D217">
            <v>587000</v>
          </cell>
          <cell r="E217">
            <v>383323.85</v>
          </cell>
        </row>
        <row r="218">
          <cell r="A218">
            <v>1813200430</v>
          </cell>
          <cell r="B218">
            <v>2016</v>
          </cell>
          <cell r="C218" t="str">
            <v>מאור כח חימום מים</v>
          </cell>
          <cell r="D218">
            <v>35000</v>
          </cell>
          <cell r="E218">
            <v>30894.82</v>
          </cell>
        </row>
        <row r="219">
          <cell r="A219">
            <v>1813200440</v>
          </cell>
          <cell r="B219">
            <v>2016</v>
          </cell>
          <cell r="C219" t="str">
            <v>ביטוח תלמידים</v>
          </cell>
          <cell r="D219">
            <v>40000</v>
          </cell>
          <cell r="E219">
            <v>70550</v>
          </cell>
        </row>
        <row r="220">
          <cell r="A220">
            <v>1813200511</v>
          </cell>
          <cell r="B220">
            <v>2016</v>
          </cell>
          <cell r="C220" t="str">
            <v>כבוד ב"ס יסודי</v>
          </cell>
          <cell r="D220">
            <v>1000</v>
          </cell>
        </row>
        <row r="221">
          <cell r="A221">
            <v>1813200520</v>
          </cell>
          <cell r="B221">
            <v>2016</v>
          </cell>
          <cell r="C221" t="str">
            <v>אש" מעדונית בית ס</v>
          </cell>
          <cell r="D221">
            <v>1500</v>
          </cell>
          <cell r="E221">
            <v>309</v>
          </cell>
        </row>
        <row r="222">
          <cell r="A222">
            <v>1813200740</v>
          </cell>
          <cell r="B222">
            <v>2016</v>
          </cell>
          <cell r="C222" t="str">
            <v>כלים מכשירים וציו</v>
          </cell>
          <cell r="D222">
            <v>3000</v>
          </cell>
          <cell r="E222">
            <v>2062.1</v>
          </cell>
        </row>
        <row r="223">
          <cell r="A223">
            <v>1813200750</v>
          </cell>
          <cell r="B223">
            <v>2016</v>
          </cell>
          <cell r="C223" t="str">
            <v>עבודות קבלניות</v>
          </cell>
          <cell r="D223">
            <v>20000</v>
          </cell>
          <cell r="E223">
            <v>23694</v>
          </cell>
        </row>
        <row r="224">
          <cell r="A224">
            <v>1813200810</v>
          </cell>
          <cell r="B224">
            <v>2016</v>
          </cell>
          <cell r="C224" t="str">
            <v>ניהול עצמי</v>
          </cell>
          <cell r="D224">
            <v>330000</v>
          </cell>
          <cell r="E224">
            <v>138083</v>
          </cell>
        </row>
        <row r="225">
          <cell r="A225">
            <v>1813210750</v>
          </cell>
          <cell r="B225">
            <v>2016</v>
          </cell>
          <cell r="C225" t="str">
            <v>שפוץ ב"ס יסודי קי</v>
          </cell>
          <cell r="D225">
            <v>5000</v>
          </cell>
        </row>
        <row r="226">
          <cell r="A226">
            <v>1813300110</v>
          </cell>
          <cell r="B226">
            <v>2016</v>
          </cell>
          <cell r="C226" t="str">
            <v>משכ' חינוך מיוחד</v>
          </cell>
          <cell r="D226">
            <v>533000</v>
          </cell>
          <cell r="E226">
            <v>356462.65</v>
          </cell>
        </row>
        <row r="227">
          <cell r="A227">
            <v>1813300660</v>
          </cell>
          <cell r="B227">
            <v>2016</v>
          </cell>
          <cell r="C227" t="str">
            <v>פר"ח</v>
          </cell>
          <cell r="D227">
            <v>25000</v>
          </cell>
          <cell r="E227">
            <v>3057</v>
          </cell>
        </row>
        <row r="228">
          <cell r="A228">
            <v>1813300710</v>
          </cell>
          <cell r="B228">
            <v>2016</v>
          </cell>
          <cell r="C228" t="str">
            <v>הסעות חינוך מיוחד</v>
          </cell>
          <cell r="D228">
            <v>650000</v>
          </cell>
          <cell r="E228">
            <v>399436</v>
          </cell>
        </row>
        <row r="229">
          <cell r="A229">
            <v>1813300870</v>
          </cell>
          <cell r="B229">
            <v>2016</v>
          </cell>
          <cell r="C229" t="str">
            <v>אגרת תלמידי חוץ</v>
          </cell>
          <cell r="D229">
            <v>230000</v>
          </cell>
        </row>
        <row r="230">
          <cell r="A230">
            <v>1813310110</v>
          </cell>
          <cell r="B230">
            <v>2016</v>
          </cell>
          <cell r="C230" t="str">
            <v>סייעות כיתתיות משכ.</v>
          </cell>
          <cell r="D230">
            <v>418000</v>
          </cell>
          <cell r="E230">
            <v>207490.8</v>
          </cell>
        </row>
        <row r="231">
          <cell r="A231">
            <v>1813320110</v>
          </cell>
          <cell r="B231">
            <v>2016</v>
          </cell>
          <cell r="C231" t="str">
            <v>סיעות רפואיות</v>
          </cell>
          <cell r="D231">
            <v>131000</v>
          </cell>
          <cell r="E231">
            <v>56371.44</v>
          </cell>
        </row>
        <row r="232">
          <cell r="A232">
            <v>1813800850</v>
          </cell>
          <cell r="B232">
            <v>2016</v>
          </cell>
          <cell r="C232" t="str">
            <v>קיטנה קיץ</v>
          </cell>
          <cell r="D232">
            <v>140000</v>
          </cell>
          <cell r="E232">
            <v>21916.5</v>
          </cell>
        </row>
        <row r="233">
          <cell r="A233">
            <v>1814000110</v>
          </cell>
          <cell r="B233">
            <v>2016</v>
          </cell>
          <cell r="C233" t="str">
            <v>שכר חט"ב</v>
          </cell>
          <cell r="D233">
            <v>479000</v>
          </cell>
          <cell r="E233">
            <v>333217.37</v>
          </cell>
        </row>
        <row r="234">
          <cell r="A234">
            <v>1814000750</v>
          </cell>
          <cell r="B234">
            <v>2016</v>
          </cell>
          <cell r="C234" t="str">
            <v>ע.קבלניות</v>
          </cell>
          <cell r="D234">
            <v>19000</v>
          </cell>
          <cell r="E234">
            <v>1404</v>
          </cell>
        </row>
        <row r="235">
          <cell r="A235">
            <v>1814100750</v>
          </cell>
          <cell r="B235">
            <v>2016</v>
          </cell>
          <cell r="C235" t="str">
            <v>פעוליות תרבות</v>
          </cell>
          <cell r="D235">
            <v>150000</v>
          </cell>
          <cell r="E235">
            <v>85137.4</v>
          </cell>
        </row>
        <row r="236">
          <cell r="A236">
            <v>1815200110</v>
          </cell>
          <cell r="B236">
            <v>2016</v>
          </cell>
          <cell r="C236" t="str">
            <v>שכר מורים-תיכון</v>
          </cell>
          <cell r="D236">
            <v>7500000</v>
          </cell>
          <cell r="E236">
            <v>5266582.32</v>
          </cell>
        </row>
        <row r="237">
          <cell r="A237">
            <v>1815200420</v>
          </cell>
          <cell r="B237">
            <v>2016</v>
          </cell>
          <cell r="C237" t="str">
            <v>בתי"ס על יסודיים</v>
          </cell>
          <cell r="D237">
            <v>3000</v>
          </cell>
        </row>
        <row r="238">
          <cell r="A238">
            <v>1815200430</v>
          </cell>
          <cell r="B238">
            <v>2016</v>
          </cell>
          <cell r="C238" t="str">
            <v>בתי"ס על יסודיים</v>
          </cell>
          <cell r="D238">
            <v>53000</v>
          </cell>
          <cell r="E238">
            <v>23481.599999999999</v>
          </cell>
        </row>
        <row r="239">
          <cell r="A239">
            <v>1815200432</v>
          </cell>
          <cell r="B239">
            <v>2016</v>
          </cell>
          <cell r="C239" t="str">
            <v>חשמל מים וחומרי נ</v>
          </cell>
          <cell r="D239">
            <v>105000</v>
          </cell>
          <cell r="E239">
            <v>63246.99</v>
          </cell>
        </row>
        <row r="240">
          <cell r="A240">
            <v>1815200440</v>
          </cell>
          <cell r="B240">
            <v>2016</v>
          </cell>
          <cell r="C240" t="str">
            <v>בטוח תלמידים</v>
          </cell>
          <cell r="D240">
            <v>33500</v>
          </cell>
        </row>
        <row r="241">
          <cell r="A241">
            <v>1815200450</v>
          </cell>
          <cell r="B241">
            <v>2016</v>
          </cell>
          <cell r="C241" t="str">
            <v>בתי"ס על יסודיים</v>
          </cell>
          <cell r="D241">
            <v>48000</v>
          </cell>
          <cell r="E241">
            <v>43090</v>
          </cell>
        </row>
        <row r="242">
          <cell r="A242">
            <v>1815200511</v>
          </cell>
          <cell r="B242">
            <v>2016</v>
          </cell>
          <cell r="C242" t="str">
            <v>כבודים</v>
          </cell>
          <cell r="D242">
            <v>1500</v>
          </cell>
          <cell r="E242">
            <v>2700</v>
          </cell>
        </row>
        <row r="243">
          <cell r="A243">
            <v>1815200520</v>
          </cell>
          <cell r="B243">
            <v>2016</v>
          </cell>
          <cell r="C243" t="str">
            <v>ספרים ועתונים</v>
          </cell>
          <cell r="D243">
            <v>7000</v>
          </cell>
        </row>
        <row r="244">
          <cell r="A244">
            <v>1815200540</v>
          </cell>
          <cell r="B244">
            <v>2016</v>
          </cell>
          <cell r="C244" t="str">
            <v>בתי"ס על יסודיים</v>
          </cell>
          <cell r="D244">
            <v>3000</v>
          </cell>
        </row>
        <row r="245">
          <cell r="A245">
            <v>1815200550</v>
          </cell>
          <cell r="B245">
            <v>2016</v>
          </cell>
          <cell r="C245" t="str">
            <v>פרסום</v>
          </cell>
          <cell r="D245">
            <v>1000</v>
          </cell>
        </row>
        <row r="246">
          <cell r="A246">
            <v>1815200560</v>
          </cell>
          <cell r="B246">
            <v>2016</v>
          </cell>
          <cell r="C246" t="str">
            <v>בתי"ס על יסודיים</v>
          </cell>
          <cell r="D246">
            <v>51600</v>
          </cell>
          <cell r="E246">
            <v>43394.09</v>
          </cell>
        </row>
        <row r="247">
          <cell r="A247">
            <v>1815200720</v>
          </cell>
          <cell r="B247">
            <v>2016</v>
          </cell>
          <cell r="C247" t="str">
            <v>חומרים</v>
          </cell>
          <cell r="D247">
            <v>45000</v>
          </cell>
          <cell r="E247">
            <v>44496.89</v>
          </cell>
        </row>
        <row r="248">
          <cell r="A248">
            <v>1815200740</v>
          </cell>
          <cell r="B248">
            <v>2016</v>
          </cell>
          <cell r="C248" t="str">
            <v>בתי"ס על יסודיים</v>
          </cell>
          <cell r="D248">
            <v>12000</v>
          </cell>
        </row>
        <row r="249">
          <cell r="A249">
            <v>1815200750</v>
          </cell>
          <cell r="B249">
            <v>2016</v>
          </cell>
          <cell r="C249" t="str">
            <v>הוצאות ב"ס על יסודי</v>
          </cell>
          <cell r="D249">
            <v>4000</v>
          </cell>
          <cell r="E249">
            <v>10179</v>
          </cell>
        </row>
        <row r="250">
          <cell r="A250">
            <v>1815200780</v>
          </cell>
          <cell r="B250">
            <v>2016</v>
          </cell>
          <cell r="C250" t="str">
            <v>הוצאות אחרות</v>
          </cell>
          <cell r="D250">
            <v>180000</v>
          </cell>
          <cell r="E250">
            <v>117798.64</v>
          </cell>
        </row>
        <row r="251">
          <cell r="A251">
            <v>1815210110</v>
          </cell>
          <cell r="B251">
            <v>2016</v>
          </cell>
          <cell r="C251" t="str">
            <v>מינהל תיכון-שכר</v>
          </cell>
          <cell r="D251">
            <v>1198000</v>
          </cell>
          <cell r="E251">
            <v>911695.99</v>
          </cell>
        </row>
        <row r="252">
          <cell r="A252">
            <v>1817300110</v>
          </cell>
          <cell r="B252">
            <v>2016</v>
          </cell>
          <cell r="C252" t="str">
            <v>שכר פסיכולוגים</v>
          </cell>
          <cell r="D252">
            <v>225000</v>
          </cell>
          <cell r="E252">
            <v>161651.98000000001</v>
          </cell>
        </row>
        <row r="253">
          <cell r="A253">
            <v>1817300560</v>
          </cell>
          <cell r="B253">
            <v>2016</v>
          </cell>
          <cell r="C253" t="str">
            <v>משרדיות פסיכולוגים</v>
          </cell>
          <cell r="D253">
            <v>20000</v>
          </cell>
          <cell r="E253">
            <v>7410.78</v>
          </cell>
        </row>
        <row r="254">
          <cell r="A254">
            <v>1817600110</v>
          </cell>
          <cell r="B254">
            <v>2016</v>
          </cell>
          <cell r="C254" t="str">
            <v>מועדוניות-שכר</v>
          </cell>
          <cell r="D254">
            <v>194000</v>
          </cell>
          <cell r="E254">
            <v>134107.29</v>
          </cell>
        </row>
        <row r="255">
          <cell r="A255">
            <v>1817600210</v>
          </cell>
          <cell r="B255">
            <v>2016</v>
          </cell>
          <cell r="C255" t="str">
            <v>מנ,ע</v>
          </cell>
          <cell r="D255">
            <v>10000</v>
          </cell>
        </row>
        <row r="256">
          <cell r="A256">
            <v>1817600520</v>
          </cell>
          <cell r="B256">
            <v>2016</v>
          </cell>
          <cell r="C256" t="str">
            <v>אש'ל מעדונית</v>
          </cell>
          <cell r="D256">
            <v>19000</v>
          </cell>
          <cell r="E256">
            <v>18972.71</v>
          </cell>
        </row>
        <row r="257">
          <cell r="A257">
            <v>1817600560</v>
          </cell>
          <cell r="B257">
            <v>2016</v>
          </cell>
          <cell r="C257" t="str">
            <v>מכשירי כתיבה</v>
          </cell>
          <cell r="D257">
            <v>10000</v>
          </cell>
          <cell r="E257">
            <v>6250</v>
          </cell>
        </row>
        <row r="258">
          <cell r="A258">
            <v>1817600740</v>
          </cell>
          <cell r="B258">
            <v>2016</v>
          </cell>
          <cell r="C258" t="str">
            <v>מרכז טיפולי</v>
          </cell>
          <cell r="D258">
            <v>5300</v>
          </cell>
          <cell r="E258">
            <v>4000</v>
          </cell>
        </row>
        <row r="259">
          <cell r="A259">
            <v>1817700110</v>
          </cell>
          <cell r="B259">
            <v>2016</v>
          </cell>
          <cell r="C259" t="str">
            <v>שכר קב"ס</v>
          </cell>
          <cell r="D259">
            <v>193000</v>
          </cell>
          <cell r="E259">
            <v>137686.26</v>
          </cell>
        </row>
        <row r="260">
          <cell r="A260">
            <v>1817900540</v>
          </cell>
          <cell r="B260">
            <v>2016</v>
          </cell>
          <cell r="C260" t="str">
            <v>בולים וטלפון</v>
          </cell>
          <cell r="D260">
            <v>2500</v>
          </cell>
          <cell r="E260">
            <v>2188.19</v>
          </cell>
        </row>
        <row r="261">
          <cell r="A261">
            <v>1817900750</v>
          </cell>
          <cell r="B261">
            <v>2016</v>
          </cell>
          <cell r="C261" t="str">
            <v>ע.קבלניות</v>
          </cell>
          <cell r="D261">
            <v>0</v>
          </cell>
          <cell r="E261">
            <v>340</v>
          </cell>
        </row>
        <row r="262">
          <cell r="A262">
            <v>1819000750</v>
          </cell>
          <cell r="B262">
            <v>2016</v>
          </cell>
          <cell r="C262" t="str">
            <v>אבטחת מוסדות חינוך</v>
          </cell>
          <cell r="D262">
            <v>310000</v>
          </cell>
          <cell r="E262">
            <v>215785.3</v>
          </cell>
        </row>
        <row r="263">
          <cell r="A263">
            <v>1819000850</v>
          </cell>
          <cell r="B263">
            <v>2016</v>
          </cell>
          <cell r="C263" t="str">
            <v>הרשאות מיוחדות חינוך</v>
          </cell>
          <cell r="D263">
            <v>50000</v>
          </cell>
          <cell r="E263">
            <v>49998</v>
          </cell>
        </row>
        <row r="264">
          <cell r="A264">
            <v>1823000110</v>
          </cell>
          <cell r="B264">
            <v>2016</v>
          </cell>
          <cell r="C264" t="str">
            <v>שכר ספריה</v>
          </cell>
          <cell r="D264">
            <v>452000</v>
          </cell>
          <cell r="E264">
            <v>317238.09000000003</v>
          </cell>
        </row>
        <row r="265">
          <cell r="A265">
            <v>1823000420</v>
          </cell>
          <cell r="B265">
            <v>2016</v>
          </cell>
          <cell r="C265" t="str">
            <v>חומרי נקיון</v>
          </cell>
          <cell r="D265">
            <v>1000</v>
          </cell>
          <cell r="E265">
            <v>427</v>
          </cell>
        </row>
        <row r="266">
          <cell r="A266">
            <v>1823000430</v>
          </cell>
          <cell r="B266">
            <v>2016</v>
          </cell>
          <cell r="C266" t="str">
            <v>חשמל מים חומרי נק</v>
          </cell>
          <cell r="D266">
            <v>26000</v>
          </cell>
          <cell r="E266">
            <v>28280.91</v>
          </cell>
        </row>
        <row r="267">
          <cell r="A267">
            <v>1823000540</v>
          </cell>
          <cell r="B267">
            <v>2016</v>
          </cell>
          <cell r="C267" t="str">
            <v>בולים טלפון ומברק</v>
          </cell>
          <cell r="D267">
            <v>3000</v>
          </cell>
          <cell r="E267">
            <v>2003.44</v>
          </cell>
        </row>
        <row r="268">
          <cell r="A268">
            <v>1823000560</v>
          </cell>
          <cell r="B268">
            <v>2016</v>
          </cell>
          <cell r="C268" t="str">
            <v>ספריות עירוניות ה</v>
          </cell>
          <cell r="D268">
            <v>13000</v>
          </cell>
          <cell r="E268">
            <v>7098.02</v>
          </cell>
        </row>
        <row r="269">
          <cell r="A269">
            <v>1828100110</v>
          </cell>
          <cell r="B269">
            <v>2016</v>
          </cell>
          <cell r="C269" t="str">
            <v>שכר בית-נער</v>
          </cell>
          <cell r="D269">
            <v>180000</v>
          </cell>
          <cell r="E269">
            <v>81405.69</v>
          </cell>
        </row>
        <row r="270">
          <cell r="A270">
            <v>1828200870</v>
          </cell>
          <cell r="B270">
            <v>2016</v>
          </cell>
          <cell r="C270" t="str">
            <v>פעוליות בנוער</v>
          </cell>
          <cell r="D270">
            <v>80000</v>
          </cell>
          <cell r="E270">
            <v>78520</v>
          </cell>
        </row>
        <row r="271">
          <cell r="A271">
            <v>1828400810</v>
          </cell>
          <cell r="B271">
            <v>2016</v>
          </cell>
          <cell r="C271" t="str">
            <v>הוצאות  קיטנה</v>
          </cell>
          <cell r="D271">
            <v>96000</v>
          </cell>
          <cell r="E271">
            <v>58664.84</v>
          </cell>
        </row>
        <row r="272">
          <cell r="A272">
            <v>1828421110</v>
          </cell>
          <cell r="B272">
            <v>2016</v>
          </cell>
          <cell r="C272" t="str">
            <v>משכ' מדריכי קיטנה א+ב</v>
          </cell>
          <cell r="D272">
            <v>123000</v>
          </cell>
          <cell r="E272">
            <v>109978.69</v>
          </cell>
        </row>
        <row r="273">
          <cell r="A273">
            <v>1829200110</v>
          </cell>
          <cell r="B273">
            <v>2016</v>
          </cell>
          <cell r="C273" t="str">
            <v>משכ. ספורט</v>
          </cell>
          <cell r="D273">
            <v>207000</v>
          </cell>
          <cell r="E273">
            <v>182657.83</v>
          </cell>
        </row>
        <row r="274">
          <cell r="A274">
            <v>1829200432</v>
          </cell>
          <cell r="B274">
            <v>2016</v>
          </cell>
          <cell r="C274" t="str">
            <v>חשמל מים וחומרי נקיון</v>
          </cell>
          <cell r="D274">
            <v>119000</v>
          </cell>
          <cell r="E274">
            <v>76846.600000000006</v>
          </cell>
        </row>
        <row r="275">
          <cell r="A275">
            <v>1829200710</v>
          </cell>
          <cell r="B275">
            <v>2016</v>
          </cell>
          <cell r="C275" t="str">
            <v>הסעות חוגי ספורט</v>
          </cell>
          <cell r="D275">
            <v>2000</v>
          </cell>
        </row>
        <row r="276">
          <cell r="A276">
            <v>1829200740</v>
          </cell>
          <cell r="B276">
            <v>2016</v>
          </cell>
          <cell r="C276" t="str">
            <v>סל ספורט</v>
          </cell>
          <cell r="D276">
            <v>150000</v>
          </cell>
          <cell r="E276">
            <v>36895.21</v>
          </cell>
        </row>
        <row r="277">
          <cell r="A277">
            <v>1829200750</v>
          </cell>
          <cell r="B277">
            <v>2016</v>
          </cell>
          <cell r="C277" t="str">
            <v>ע.קבלניות מגרש ספ</v>
          </cell>
          <cell r="D277">
            <v>3000</v>
          </cell>
          <cell r="E277">
            <v>11171</v>
          </cell>
        </row>
        <row r="278">
          <cell r="A278">
            <v>1829200810</v>
          </cell>
          <cell r="B278">
            <v>2016</v>
          </cell>
          <cell r="C278" t="str">
            <v>תמיכות ספורט</v>
          </cell>
          <cell r="D278">
            <v>120000</v>
          </cell>
          <cell r="E278">
            <v>50400</v>
          </cell>
        </row>
        <row r="279">
          <cell r="A279">
            <v>1832400110</v>
          </cell>
          <cell r="B279">
            <v>2016</v>
          </cell>
          <cell r="C279" t="str">
            <v>טיפת חלב</v>
          </cell>
          <cell r="D279">
            <v>113000</v>
          </cell>
          <cell r="E279">
            <v>79928.39</v>
          </cell>
        </row>
        <row r="280">
          <cell r="A280">
            <v>1832400430</v>
          </cell>
          <cell r="B280">
            <v>2016</v>
          </cell>
          <cell r="C280" t="str">
            <v>מאור כח חימום מים</v>
          </cell>
          <cell r="D280">
            <v>5000</v>
          </cell>
          <cell r="E280">
            <v>1946.45</v>
          </cell>
        </row>
        <row r="281">
          <cell r="A281">
            <v>1832400540</v>
          </cell>
          <cell r="B281">
            <v>2016</v>
          </cell>
          <cell r="C281" t="str">
            <v>דאר טלפון</v>
          </cell>
          <cell r="D281">
            <v>2000</v>
          </cell>
          <cell r="E281">
            <v>793.91</v>
          </cell>
        </row>
        <row r="282">
          <cell r="A282">
            <v>1832400720</v>
          </cell>
          <cell r="B282">
            <v>2016</v>
          </cell>
          <cell r="C282" t="str">
            <v>חומרים</v>
          </cell>
          <cell r="D282">
            <v>2000</v>
          </cell>
          <cell r="E282">
            <v>797.91</v>
          </cell>
        </row>
        <row r="283">
          <cell r="A283">
            <v>1841000110</v>
          </cell>
          <cell r="B283">
            <v>2016</v>
          </cell>
          <cell r="C283" t="str">
            <v>שכר רווחה</v>
          </cell>
          <cell r="D283">
            <v>1199000</v>
          </cell>
          <cell r="E283">
            <v>833900.81</v>
          </cell>
        </row>
        <row r="284">
          <cell r="A284">
            <v>1841000430</v>
          </cell>
          <cell r="B284">
            <v>2016</v>
          </cell>
          <cell r="C284" t="str">
            <v>חשמל מים</v>
          </cell>
          <cell r="D284">
            <v>5000</v>
          </cell>
          <cell r="E284">
            <v>5018.28</v>
          </cell>
        </row>
        <row r="285">
          <cell r="A285">
            <v>1841000470</v>
          </cell>
          <cell r="B285">
            <v>2016</v>
          </cell>
          <cell r="C285" t="str">
            <v>מכונת משרד והחזקת</v>
          </cell>
          <cell r="D285">
            <v>1000</v>
          </cell>
        </row>
        <row r="286">
          <cell r="A286">
            <v>1841000511</v>
          </cell>
          <cell r="B286">
            <v>2016</v>
          </cell>
          <cell r="C286" t="str">
            <v>כבודים</v>
          </cell>
          <cell r="D286">
            <v>500</v>
          </cell>
        </row>
        <row r="287">
          <cell r="A287">
            <v>1841000540</v>
          </cell>
          <cell r="B287">
            <v>2016</v>
          </cell>
          <cell r="C287" t="str">
            <v>דאר וטלפון</v>
          </cell>
          <cell r="D287">
            <v>2000</v>
          </cell>
          <cell r="E287">
            <v>1313.88</v>
          </cell>
        </row>
        <row r="288">
          <cell r="A288">
            <v>1841000560</v>
          </cell>
          <cell r="B288">
            <v>2016</v>
          </cell>
          <cell r="C288" t="str">
            <v>מינהל הרווחה הוצא</v>
          </cell>
          <cell r="D288">
            <v>800</v>
          </cell>
        </row>
        <row r="289">
          <cell r="A289">
            <v>1842200840</v>
          </cell>
          <cell r="B289">
            <v>2016</v>
          </cell>
          <cell r="C289" t="str">
            <v>משפחות במצוקה</v>
          </cell>
          <cell r="D289">
            <v>17000</v>
          </cell>
          <cell r="E289">
            <v>27533</v>
          </cell>
        </row>
        <row r="290">
          <cell r="A290">
            <v>1842200841</v>
          </cell>
          <cell r="B290">
            <v>2016</v>
          </cell>
          <cell r="C290" t="str">
            <v>מקלטים לנשים מוכו</v>
          </cell>
          <cell r="E290">
            <v>8650</v>
          </cell>
        </row>
        <row r="291">
          <cell r="A291">
            <v>1842200842</v>
          </cell>
          <cell r="B291">
            <v>2016</v>
          </cell>
          <cell r="C291" t="str">
            <v>סיוע למשפחות עם י</v>
          </cell>
          <cell r="D291">
            <v>13000</v>
          </cell>
          <cell r="E291">
            <v>6339</v>
          </cell>
        </row>
        <row r="292">
          <cell r="A292">
            <v>1842400820</v>
          </cell>
          <cell r="B292">
            <v>2016</v>
          </cell>
          <cell r="C292" t="str">
            <v>מרכזי טיפול באלימות</v>
          </cell>
          <cell r="D292">
            <v>17000</v>
          </cell>
          <cell r="E292">
            <v>44511</v>
          </cell>
        </row>
        <row r="293">
          <cell r="A293">
            <v>1842400830</v>
          </cell>
          <cell r="B293">
            <v>2016</v>
          </cell>
          <cell r="C293" t="str">
            <v>תחנות לטיפול במשפחה</v>
          </cell>
          <cell r="E293">
            <v>38193</v>
          </cell>
        </row>
        <row r="294">
          <cell r="A294">
            <v>1843500841</v>
          </cell>
          <cell r="B294">
            <v>2016</v>
          </cell>
          <cell r="C294" t="str">
            <v>טפול בילד בקהילה</v>
          </cell>
          <cell r="D294">
            <v>330000</v>
          </cell>
          <cell r="E294">
            <v>296345</v>
          </cell>
        </row>
        <row r="295">
          <cell r="A295">
            <v>1843510820</v>
          </cell>
          <cell r="B295">
            <v>2016</v>
          </cell>
          <cell r="C295" t="str">
            <v>יצירת קשר הורים ילדים</v>
          </cell>
          <cell r="D295">
            <v>3000</v>
          </cell>
          <cell r="E295">
            <v>554</v>
          </cell>
        </row>
        <row r="296">
          <cell r="A296">
            <v>1843800840</v>
          </cell>
          <cell r="B296">
            <v>2016</v>
          </cell>
          <cell r="C296" t="str">
            <v>אחזקת ילדים בפנמי</v>
          </cell>
          <cell r="D296">
            <v>517000</v>
          </cell>
          <cell r="E296">
            <v>433104</v>
          </cell>
        </row>
        <row r="297">
          <cell r="A297">
            <v>1843900840</v>
          </cell>
          <cell r="B297">
            <v>2016</v>
          </cell>
          <cell r="C297" t="str">
            <v>ילדים במעות יום</v>
          </cell>
          <cell r="D297">
            <v>389000</v>
          </cell>
          <cell r="E297">
            <v>273069</v>
          </cell>
        </row>
        <row r="298">
          <cell r="A298">
            <v>1843910840</v>
          </cell>
          <cell r="B298">
            <v>2016</v>
          </cell>
          <cell r="C298" t="str">
            <v>תוכנית לאומית לילדים ונוער בסיכון</v>
          </cell>
          <cell r="D298">
            <v>319000</v>
          </cell>
          <cell r="E298">
            <v>104263</v>
          </cell>
        </row>
        <row r="299">
          <cell r="A299">
            <v>1844400840</v>
          </cell>
          <cell r="B299">
            <v>2016</v>
          </cell>
          <cell r="C299" t="str">
            <v>טפול בזקן בקהילה</v>
          </cell>
          <cell r="D299">
            <v>52500</v>
          </cell>
          <cell r="E299">
            <v>7999</v>
          </cell>
        </row>
        <row r="300">
          <cell r="A300">
            <v>1844500430</v>
          </cell>
          <cell r="B300">
            <v>2016</v>
          </cell>
          <cell r="C300" t="str">
            <v>חשמל מעדון קשישים</v>
          </cell>
          <cell r="D300">
            <v>20000</v>
          </cell>
          <cell r="E300">
            <v>23551.98</v>
          </cell>
        </row>
        <row r="301">
          <cell r="A301">
            <v>1844500820</v>
          </cell>
          <cell r="B301">
            <v>2016</v>
          </cell>
          <cell r="C301" t="str">
            <v>השת' מועצה בקשיש</v>
          </cell>
          <cell r="D301">
            <v>14000</v>
          </cell>
          <cell r="E301">
            <v>3057.82</v>
          </cell>
        </row>
        <row r="302">
          <cell r="A302">
            <v>1844500840</v>
          </cell>
          <cell r="B302">
            <v>2016</v>
          </cell>
          <cell r="C302" t="str">
            <v>מועדון מועשר</v>
          </cell>
          <cell r="D302">
            <v>180000</v>
          </cell>
          <cell r="E302">
            <v>33460</v>
          </cell>
        </row>
        <row r="303">
          <cell r="A303">
            <v>1845100840</v>
          </cell>
          <cell r="B303">
            <v>2016</v>
          </cell>
          <cell r="C303" t="str">
            <v>סידור מפגרים במוס</v>
          </cell>
          <cell r="D303">
            <v>1449000</v>
          </cell>
          <cell r="E303">
            <v>1169150</v>
          </cell>
        </row>
        <row r="304">
          <cell r="A304">
            <v>1845110820</v>
          </cell>
          <cell r="B304">
            <v>2016</v>
          </cell>
          <cell r="C304" t="str">
            <v>טיפול בהורים ובילדיה</v>
          </cell>
          <cell r="D304">
            <v>7000</v>
          </cell>
          <cell r="E304">
            <v>5000</v>
          </cell>
        </row>
        <row r="305">
          <cell r="A305">
            <v>1845200110</v>
          </cell>
          <cell r="B305">
            <v>2016</v>
          </cell>
          <cell r="C305" t="str">
            <v>שכר מע"ש-ים</v>
          </cell>
          <cell r="D305">
            <v>662000</v>
          </cell>
          <cell r="E305">
            <v>439590.12</v>
          </cell>
        </row>
        <row r="306">
          <cell r="A306">
            <v>1845200432</v>
          </cell>
          <cell r="B306">
            <v>2016</v>
          </cell>
          <cell r="C306" t="str">
            <v>חשמל ומים וחומרי</v>
          </cell>
          <cell r="D306">
            <v>5000</v>
          </cell>
          <cell r="E306">
            <v>6862</v>
          </cell>
        </row>
        <row r="307">
          <cell r="A307">
            <v>1845200520</v>
          </cell>
          <cell r="B307">
            <v>2016</v>
          </cell>
          <cell r="C307" t="str">
            <v>אשל</v>
          </cell>
          <cell r="D307">
            <v>7500</v>
          </cell>
          <cell r="E307">
            <v>8384</v>
          </cell>
        </row>
        <row r="308">
          <cell r="A308">
            <v>1845200750</v>
          </cell>
          <cell r="B308">
            <v>2016</v>
          </cell>
          <cell r="C308" t="str">
            <v>ע.קבלניות מע"ש</v>
          </cell>
          <cell r="D308">
            <v>8000</v>
          </cell>
          <cell r="E308">
            <v>5804</v>
          </cell>
        </row>
        <row r="309">
          <cell r="A309">
            <v>1845200840</v>
          </cell>
          <cell r="B309">
            <v>2016</v>
          </cell>
          <cell r="C309" t="str">
            <v>מפגרים במעון טיפו</v>
          </cell>
          <cell r="D309">
            <v>24500</v>
          </cell>
          <cell r="E309">
            <v>153813</v>
          </cell>
        </row>
        <row r="310">
          <cell r="A310">
            <v>1845200841</v>
          </cell>
          <cell r="B310">
            <v>2016</v>
          </cell>
          <cell r="C310" t="str">
            <v>מעשי"ם</v>
          </cell>
          <cell r="D310">
            <v>95000</v>
          </cell>
          <cell r="E310">
            <v>60219</v>
          </cell>
        </row>
        <row r="311">
          <cell r="A311">
            <v>1845300842</v>
          </cell>
          <cell r="B311">
            <v>2016</v>
          </cell>
          <cell r="C311" t="str">
            <v>הסעות למעון יום למפגר</v>
          </cell>
          <cell r="D311">
            <v>29000</v>
          </cell>
          <cell r="E311">
            <v>25576</v>
          </cell>
        </row>
        <row r="312">
          <cell r="A312">
            <v>1846300820</v>
          </cell>
          <cell r="B312">
            <v>2016</v>
          </cell>
          <cell r="C312" t="str">
            <v>הדרכת עוור ובני ביתו</v>
          </cell>
          <cell r="D312">
            <v>6000</v>
          </cell>
        </row>
        <row r="313">
          <cell r="A313">
            <v>1846400840</v>
          </cell>
          <cell r="B313">
            <v>2016</v>
          </cell>
          <cell r="C313" t="str">
            <v>מפעלי שיקום לעיוו</v>
          </cell>
          <cell r="D313">
            <v>9000</v>
          </cell>
        </row>
        <row r="314">
          <cell r="A314">
            <v>1846600840</v>
          </cell>
          <cell r="B314">
            <v>2016</v>
          </cell>
          <cell r="C314" t="str">
            <v>תעסוקה מוגנת למוג</v>
          </cell>
          <cell r="D314">
            <v>30000</v>
          </cell>
          <cell r="E314">
            <v>9581</v>
          </cell>
        </row>
        <row r="315">
          <cell r="A315">
            <v>1846700840</v>
          </cell>
          <cell r="B315">
            <v>2016</v>
          </cell>
          <cell r="C315" t="str">
            <v>תעסוקה נתמכת לנכי</v>
          </cell>
          <cell r="E315">
            <v>14088</v>
          </cell>
        </row>
        <row r="316">
          <cell r="A316">
            <v>1846800840</v>
          </cell>
          <cell r="B316">
            <v>2016</v>
          </cell>
          <cell r="C316" t="str">
            <v>תעסוקה מוגנת למוג</v>
          </cell>
          <cell r="E316">
            <v>1373</v>
          </cell>
        </row>
        <row r="317">
          <cell r="A317">
            <v>1847300842</v>
          </cell>
          <cell r="B317">
            <v>2016</v>
          </cell>
          <cell r="C317" t="str">
            <v>התמכרוית - מבוגרים</v>
          </cell>
          <cell r="D317">
            <v>0</v>
          </cell>
          <cell r="E317">
            <v>2247</v>
          </cell>
        </row>
        <row r="318">
          <cell r="A318">
            <v>1980000980</v>
          </cell>
          <cell r="B318">
            <v>2016</v>
          </cell>
          <cell r="C318" t="str">
            <v>תביעות צד ג</v>
          </cell>
          <cell r="D318">
            <v>0</v>
          </cell>
          <cell r="E318">
            <v>53049</v>
          </cell>
        </row>
        <row r="319">
          <cell r="A319">
            <v>1991000310</v>
          </cell>
          <cell r="B319">
            <v>2016</v>
          </cell>
          <cell r="C319" t="str">
            <v>פנסיה עובדים</v>
          </cell>
          <cell r="D319">
            <v>3796000</v>
          </cell>
          <cell r="E319">
            <v>2156074.34</v>
          </cell>
        </row>
        <row r="320">
          <cell r="A320">
            <v>1991100310</v>
          </cell>
          <cell r="B320">
            <v>2016</v>
          </cell>
          <cell r="C320" t="str">
            <v>פנסיונרים</v>
          </cell>
          <cell r="D320">
            <v>863000</v>
          </cell>
          <cell r="E320">
            <v>575405.92000000004</v>
          </cell>
        </row>
        <row r="321">
          <cell r="A321">
            <v>1993000980</v>
          </cell>
          <cell r="B321">
            <v>2016</v>
          </cell>
          <cell r="C321" t="str">
            <v>הוצאות ש.ק.</v>
          </cell>
          <cell r="D321">
            <v>0</v>
          </cell>
          <cell r="E321">
            <v>54434.83</v>
          </cell>
        </row>
        <row r="322">
          <cell r="A322">
            <v>1994000960</v>
          </cell>
          <cell r="B322">
            <v>2016</v>
          </cell>
          <cell r="C322" t="str">
            <v>הוצאות מותנות</v>
          </cell>
          <cell r="D322">
            <v>1200000</v>
          </cell>
        </row>
        <row r="323">
          <cell r="A323">
            <v>1995000860</v>
          </cell>
          <cell r="B323">
            <v>2016</v>
          </cell>
          <cell r="C323" t="str">
            <v>הנחות ארנונה חומר</v>
          </cell>
          <cell r="D323">
            <v>5500000.3300000001</v>
          </cell>
        </row>
        <row r="324">
          <cell r="A324">
            <v>1999000990</v>
          </cell>
          <cell r="B324">
            <v>2016</v>
          </cell>
          <cell r="C324" t="str">
            <v>כיסוי גרעונות</v>
          </cell>
          <cell r="D324">
            <v>0</v>
          </cell>
          <cell r="E324">
            <v>6031586.6699999999</v>
          </cell>
        </row>
      </sheetData>
      <sheetData sheetId="14"/>
      <sheetData sheetId="15">
        <row r="1">
          <cell r="A1" t="str">
            <v>חשבון</v>
          </cell>
          <cell r="B1" t="str">
            <v>שם חשבון</v>
          </cell>
          <cell r="C1" t="str">
            <v>תקציב יחסי</v>
          </cell>
          <cell r="D1" t="str">
            <v>ביצוע יחסי</v>
          </cell>
          <cell r="E1" t="str">
            <v>שריון יחסי</v>
          </cell>
          <cell r="F1" t="str">
            <v>ביצוע + שריון יחסי</v>
          </cell>
          <cell r="G1" t="str">
            <v>יתרת תקציב יחסי</v>
          </cell>
          <cell r="H1" t="str">
            <v>אחוז ביצוע יחסי</v>
          </cell>
          <cell r="I1" t="str">
            <v>תקציב שנתי</v>
          </cell>
          <cell r="J1" t="str">
            <v>ביצוע  שנתי</v>
          </cell>
        </row>
        <row r="2">
          <cell r="A2">
            <v>1111000100</v>
          </cell>
          <cell r="B2" t="str">
            <v>ארנונה</v>
          </cell>
          <cell r="C2">
            <v>-3681860</v>
          </cell>
          <cell r="D2">
            <v>-3157215.46</v>
          </cell>
          <cell r="E2">
            <v>0</v>
          </cell>
          <cell r="F2">
            <v>-3157215.46</v>
          </cell>
          <cell r="G2">
            <v>-524644.54</v>
          </cell>
          <cell r="H2">
            <v>85.75</v>
          </cell>
          <cell r="I2">
            <v>-4420000</v>
          </cell>
          <cell r="J2">
            <v>-3157215.46</v>
          </cell>
        </row>
        <row r="3">
          <cell r="A3">
            <v>1112000121</v>
          </cell>
          <cell r="B3" t="str">
            <v>הכנסות פיגורים</v>
          </cell>
          <cell r="C3">
            <v>-1181190</v>
          </cell>
          <cell r="D3">
            <v>-127146.21</v>
          </cell>
          <cell r="E3">
            <v>0</v>
          </cell>
          <cell r="F3">
            <v>-127146.21</v>
          </cell>
          <cell r="G3">
            <v>-1054043.79</v>
          </cell>
          <cell r="H3">
            <v>10.76</v>
          </cell>
          <cell r="I3">
            <v>-1418000</v>
          </cell>
          <cell r="J3">
            <v>-127146.21</v>
          </cell>
        </row>
        <row r="4">
          <cell r="A4">
            <v>1112000122</v>
          </cell>
          <cell r="B4" t="str">
            <v>ארנונה פיגורים 2008</v>
          </cell>
          <cell r="C4">
            <v>-36650</v>
          </cell>
          <cell r="D4">
            <v>-1555.85</v>
          </cell>
          <cell r="E4">
            <v>0</v>
          </cell>
          <cell r="F4">
            <v>-1555.85</v>
          </cell>
          <cell r="G4">
            <v>-35094.15</v>
          </cell>
          <cell r="H4">
            <v>4.24</v>
          </cell>
          <cell r="I4">
            <v>-44000</v>
          </cell>
          <cell r="J4">
            <v>-1555.85</v>
          </cell>
        </row>
        <row r="5">
          <cell r="A5">
            <v>1112000123</v>
          </cell>
          <cell r="B5" t="str">
            <v>ארנונה פירורים 2009</v>
          </cell>
          <cell r="C5">
            <v>-37490</v>
          </cell>
          <cell r="D5">
            <v>-55859.01</v>
          </cell>
          <cell r="E5">
            <v>0</v>
          </cell>
          <cell r="F5">
            <v>-55859.01</v>
          </cell>
          <cell r="G5">
            <v>18369.009999999998</v>
          </cell>
          <cell r="H5">
            <v>148.99</v>
          </cell>
          <cell r="I5">
            <v>-45000</v>
          </cell>
          <cell r="J5">
            <v>-55859.01</v>
          </cell>
        </row>
        <row r="6">
          <cell r="A6">
            <v>1112000124</v>
          </cell>
          <cell r="B6" t="str">
            <v>ארנונה פיגורים 2010</v>
          </cell>
          <cell r="C6">
            <v>-44980</v>
          </cell>
          <cell r="D6">
            <v>-15335.27</v>
          </cell>
          <cell r="E6">
            <v>0</v>
          </cell>
          <cell r="F6">
            <v>-15335.27</v>
          </cell>
          <cell r="G6">
            <v>-29644.73</v>
          </cell>
          <cell r="H6">
            <v>34.090000000000003</v>
          </cell>
          <cell r="I6">
            <v>-54000</v>
          </cell>
          <cell r="J6">
            <v>-15335.27</v>
          </cell>
        </row>
        <row r="7">
          <cell r="A7">
            <v>1112000125</v>
          </cell>
          <cell r="B7" t="str">
            <v>ארנונה פיגורים 2011</v>
          </cell>
          <cell r="C7">
            <v>-80800</v>
          </cell>
          <cell r="D7">
            <v>-8481.9</v>
          </cell>
          <cell r="E7">
            <v>0</v>
          </cell>
          <cell r="F7">
            <v>-8481.9</v>
          </cell>
          <cell r="G7">
            <v>-72318.100000000006</v>
          </cell>
          <cell r="H7">
            <v>10.49</v>
          </cell>
          <cell r="I7">
            <v>-97000</v>
          </cell>
          <cell r="J7">
            <v>-8481.9</v>
          </cell>
        </row>
        <row r="8">
          <cell r="A8">
            <v>1112000126</v>
          </cell>
          <cell r="B8" t="str">
            <v>ארנונה פיגורים 2012</v>
          </cell>
          <cell r="C8">
            <v>-116620</v>
          </cell>
          <cell r="D8">
            <v>-15158.56</v>
          </cell>
          <cell r="E8">
            <v>0</v>
          </cell>
          <cell r="F8">
            <v>-15158.56</v>
          </cell>
          <cell r="G8">
            <v>-101461.44</v>
          </cell>
          <cell r="H8">
            <v>12.99</v>
          </cell>
          <cell r="I8">
            <v>-140000</v>
          </cell>
          <cell r="J8">
            <v>-15158.56</v>
          </cell>
        </row>
        <row r="9">
          <cell r="A9">
            <v>1112000127</v>
          </cell>
          <cell r="B9" t="str">
            <v>ארנונה פיגורים 2013</v>
          </cell>
          <cell r="C9">
            <v>-179100</v>
          </cell>
          <cell r="D9">
            <v>-30590.639999999999</v>
          </cell>
          <cell r="E9">
            <v>0</v>
          </cell>
          <cell r="F9">
            <v>-30590.639999999999</v>
          </cell>
          <cell r="G9">
            <v>-148509.35999999999</v>
          </cell>
          <cell r="H9">
            <v>17.079999999999998</v>
          </cell>
          <cell r="I9">
            <v>-215000</v>
          </cell>
          <cell r="J9">
            <v>-30590.639999999999</v>
          </cell>
        </row>
        <row r="10">
          <cell r="A10">
            <v>1112000128</v>
          </cell>
          <cell r="B10" t="str">
            <v>ארנונה פיגורים 2014</v>
          </cell>
          <cell r="C10">
            <v>-381510</v>
          </cell>
          <cell r="D10">
            <v>-75168.570000000007</v>
          </cell>
          <cell r="E10">
            <v>0</v>
          </cell>
          <cell r="F10">
            <v>-75168.570000000007</v>
          </cell>
          <cell r="G10">
            <v>-306341.43</v>
          </cell>
          <cell r="H10">
            <v>19.7</v>
          </cell>
          <cell r="I10">
            <v>-458000</v>
          </cell>
          <cell r="J10">
            <v>-75168.570000000007</v>
          </cell>
        </row>
        <row r="11">
          <cell r="A11">
            <v>1112000129</v>
          </cell>
          <cell r="B11" t="str">
            <v>ארנונה פיגורים 2015</v>
          </cell>
          <cell r="C11">
            <v>0</v>
          </cell>
          <cell r="D11">
            <v>-79800.240000000005</v>
          </cell>
          <cell r="E11">
            <v>0</v>
          </cell>
          <cell r="F11">
            <v>-79800.240000000005</v>
          </cell>
          <cell r="G11">
            <v>79800.240000000005</v>
          </cell>
          <cell r="H11">
            <v>0</v>
          </cell>
          <cell r="I11">
            <v>0</v>
          </cell>
          <cell r="J11">
            <v>-79800.240000000005</v>
          </cell>
        </row>
        <row r="12">
          <cell r="A12">
            <v>1112000130</v>
          </cell>
          <cell r="B12" t="str">
            <v>ארנונה פיגורים 2016</v>
          </cell>
          <cell r="C12">
            <v>0</v>
          </cell>
          <cell r="D12">
            <v>-435309.64</v>
          </cell>
          <cell r="E12">
            <v>0</v>
          </cell>
          <cell r="F12">
            <v>-435309.64</v>
          </cell>
          <cell r="G12">
            <v>435309.64</v>
          </cell>
          <cell r="H12">
            <v>0</v>
          </cell>
          <cell r="I12">
            <v>0</v>
          </cell>
          <cell r="J12">
            <v>-435309.64</v>
          </cell>
        </row>
        <row r="13">
          <cell r="A13">
            <v>1115000100</v>
          </cell>
          <cell r="B13" t="str">
            <v>הנחות לזכאים</v>
          </cell>
          <cell r="C13">
            <v>-2129150</v>
          </cell>
          <cell r="D13">
            <v>-1256699.5</v>
          </cell>
          <cell r="E13">
            <v>0</v>
          </cell>
          <cell r="F13">
            <v>-1256699.5</v>
          </cell>
          <cell r="G13">
            <v>-872450.5</v>
          </cell>
          <cell r="H13">
            <v>59.02</v>
          </cell>
          <cell r="I13">
            <v>-2556000</v>
          </cell>
          <cell r="J13">
            <v>-1256699.5</v>
          </cell>
        </row>
        <row r="14">
          <cell r="A14">
            <v>1121000290</v>
          </cell>
          <cell r="B14" t="str">
            <v>תעודות ואישורים</v>
          </cell>
          <cell r="C14">
            <v>-2500</v>
          </cell>
          <cell r="D14">
            <v>-1750</v>
          </cell>
          <cell r="E14">
            <v>0</v>
          </cell>
          <cell r="F14">
            <v>-1750</v>
          </cell>
          <cell r="G14">
            <v>-750</v>
          </cell>
          <cell r="H14">
            <v>70</v>
          </cell>
          <cell r="I14">
            <v>-3000</v>
          </cell>
          <cell r="J14">
            <v>-1750</v>
          </cell>
        </row>
        <row r="15">
          <cell r="A15">
            <v>1125000290</v>
          </cell>
          <cell r="B15" t="str">
            <v>גביית הוצאות אכיפה</v>
          </cell>
          <cell r="C15">
            <v>-89960</v>
          </cell>
          <cell r="D15">
            <v>-57005.38</v>
          </cell>
          <cell r="E15">
            <v>0</v>
          </cell>
          <cell r="F15">
            <v>-57005.38</v>
          </cell>
          <cell r="G15">
            <v>-32954.620000000003</v>
          </cell>
          <cell r="H15">
            <v>63.36</v>
          </cell>
          <cell r="I15">
            <v>-108000</v>
          </cell>
          <cell r="J15">
            <v>-57005.38</v>
          </cell>
        </row>
        <row r="16">
          <cell r="A16">
            <v>1129000290</v>
          </cell>
          <cell r="B16" t="str">
            <v>אגרות מים ובניה</v>
          </cell>
          <cell r="C16">
            <v>-236570</v>
          </cell>
          <cell r="D16">
            <v>-128928.2</v>
          </cell>
          <cell r="E16">
            <v>0</v>
          </cell>
          <cell r="F16">
            <v>-128928.2</v>
          </cell>
          <cell r="G16">
            <v>-107641.8</v>
          </cell>
          <cell r="H16">
            <v>54.49</v>
          </cell>
          <cell r="I16">
            <v>-284000</v>
          </cell>
          <cell r="J16">
            <v>-128928.2</v>
          </cell>
        </row>
        <row r="17">
          <cell r="A17">
            <v>1129200290</v>
          </cell>
          <cell r="B17" t="str">
            <v>היטל ביוב</v>
          </cell>
          <cell r="C17">
            <v>-250730</v>
          </cell>
          <cell r="D17">
            <v>-152706.25</v>
          </cell>
          <cell r="E17">
            <v>0</v>
          </cell>
          <cell r="F17">
            <v>-152706.25</v>
          </cell>
          <cell r="G17">
            <v>-98023.75</v>
          </cell>
          <cell r="H17">
            <v>60.9</v>
          </cell>
          <cell r="I17">
            <v>-301000</v>
          </cell>
          <cell r="J17">
            <v>-152706.25</v>
          </cell>
        </row>
        <row r="18">
          <cell r="A18">
            <v>1129210290</v>
          </cell>
          <cell r="B18" t="str">
            <v>יתרות ביוב 2006</v>
          </cell>
          <cell r="C18">
            <v>-830</v>
          </cell>
          <cell r="D18">
            <v>-690.3</v>
          </cell>
          <cell r="E18">
            <v>0</v>
          </cell>
          <cell r="F18">
            <v>-690.3</v>
          </cell>
          <cell r="G18">
            <v>-139.69999999999999</v>
          </cell>
          <cell r="H18">
            <v>83.16</v>
          </cell>
          <cell r="I18">
            <v>-1000</v>
          </cell>
          <cell r="J18">
            <v>-690.3</v>
          </cell>
        </row>
        <row r="19">
          <cell r="A19">
            <v>1129300290</v>
          </cell>
          <cell r="B19" t="str">
            <v>הכנסות שונות</v>
          </cell>
          <cell r="C19">
            <v>-56640</v>
          </cell>
          <cell r="D19">
            <v>-93412.24</v>
          </cell>
          <cell r="E19">
            <v>0</v>
          </cell>
          <cell r="F19">
            <v>-93412.24</v>
          </cell>
          <cell r="G19">
            <v>36772.239999999998</v>
          </cell>
          <cell r="H19">
            <v>164.92</v>
          </cell>
          <cell r="I19">
            <v>-68000</v>
          </cell>
          <cell r="J19">
            <v>-93412.24</v>
          </cell>
        </row>
        <row r="20">
          <cell r="A20">
            <v>1129400290</v>
          </cell>
          <cell r="B20" t="str">
            <v>אגרת רשיונות ושונות</v>
          </cell>
          <cell r="C20">
            <v>-26660</v>
          </cell>
          <cell r="D20">
            <v>-79500</v>
          </cell>
          <cell r="E20">
            <v>0</v>
          </cell>
          <cell r="F20">
            <v>-79500</v>
          </cell>
          <cell r="G20">
            <v>52840</v>
          </cell>
          <cell r="H20">
            <v>298.19</v>
          </cell>
          <cell r="I20">
            <v>-32000</v>
          </cell>
          <cell r="J20">
            <v>-79500</v>
          </cell>
        </row>
        <row r="21">
          <cell r="A21">
            <v>1129500290</v>
          </cell>
          <cell r="B21" t="str">
            <v>אגרת מים בגבעה</v>
          </cell>
          <cell r="C21">
            <v>-13330</v>
          </cell>
          <cell r="D21">
            <v>-13214.37</v>
          </cell>
          <cell r="E21">
            <v>0</v>
          </cell>
          <cell r="F21">
            <v>-13214.37</v>
          </cell>
          <cell r="G21">
            <v>-115.63</v>
          </cell>
          <cell r="H21">
            <v>99.13</v>
          </cell>
          <cell r="I21">
            <v>-16000</v>
          </cell>
          <cell r="J21">
            <v>-13214.37</v>
          </cell>
        </row>
        <row r="22">
          <cell r="A22">
            <v>1129600290</v>
          </cell>
          <cell r="B22" t="str">
            <v>ביוב מרכזי בגבעה</v>
          </cell>
          <cell r="C22">
            <v>-129120</v>
          </cell>
          <cell r="D22">
            <v>-127287.16</v>
          </cell>
          <cell r="E22">
            <v>0</v>
          </cell>
          <cell r="F22">
            <v>-127287.16</v>
          </cell>
          <cell r="G22">
            <v>-1832.84</v>
          </cell>
          <cell r="H22">
            <v>98.58</v>
          </cell>
          <cell r="I22">
            <v>-155000</v>
          </cell>
          <cell r="J22">
            <v>-127287.16</v>
          </cell>
        </row>
        <row r="23">
          <cell r="A23">
            <v>1129610290</v>
          </cell>
          <cell r="B23" t="str">
            <v>מט"ש הכנסות</v>
          </cell>
          <cell r="C23">
            <v>0</v>
          </cell>
          <cell r="D23">
            <v>-112269</v>
          </cell>
          <cell r="E23">
            <v>0</v>
          </cell>
          <cell r="F23">
            <v>-112269</v>
          </cell>
          <cell r="G23">
            <v>112269</v>
          </cell>
          <cell r="H23">
            <v>0</v>
          </cell>
          <cell r="I23">
            <v>0</v>
          </cell>
          <cell r="J23">
            <v>-112269</v>
          </cell>
        </row>
        <row r="24">
          <cell r="A24">
            <v>1129700290</v>
          </cell>
          <cell r="B24" t="str">
            <v>אגרת בניה בגבעה</v>
          </cell>
          <cell r="C24">
            <v>-113290</v>
          </cell>
          <cell r="D24">
            <v>-88055.02</v>
          </cell>
          <cell r="E24">
            <v>0</v>
          </cell>
          <cell r="F24">
            <v>-88055.02</v>
          </cell>
          <cell r="G24">
            <v>-25234.98</v>
          </cell>
          <cell r="H24">
            <v>77.72</v>
          </cell>
          <cell r="I24">
            <v>-136000</v>
          </cell>
          <cell r="J24">
            <v>-88055.02</v>
          </cell>
        </row>
        <row r="25">
          <cell r="A25">
            <v>1129800290</v>
          </cell>
          <cell r="B25" t="str">
            <v>אישורים חברת חשמל גבעה</v>
          </cell>
          <cell r="C25">
            <v>0</v>
          </cell>
          <cell r="D25">
            <v>-7360</v>
          </cell>
          <cell r="E25">
            <v>0</v>
          </cell>
          <cell r="F25">
            <v>-7360</v>
          </cell>
          <cell r="G25">
            <v>7360</v>
          </cell>
          <cell r="H25">
            <v>0</v>
          </cell>
          <cell r="I25">
            <v>0</v>
          </cell>
          <cell r="J25">
            <v>-7360</v>
          </cell>
        </row>
        <row r="26">
          <cell r="A26">
            <v>1129900290</v>
          </cell>
          <cell r="B26" t="str">
            <v>השת" הכנת תוכנית מפורתת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1131690290</v>
          </cell>
          <cell r="B27" t="str">
            <v>היטל השבחה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>
            <v>1157000690</v>
          </cell>
          <cell r="B28" t="str">
            <v>החזר ביטוח לאומי תאונת עב</v>
          </cell>
          <cell r="C28">
            <v>-12500</v>
          </cell>
          <cell r="D28">
            <v>-30959</v>
          </cell>
          <cell r="E28">
            <v>0</v>
          </cell>
          <cell r="F28">
            <v>-30959</v>
          </cell>
          <cell r="G28">
            <v>18459</v>
          </cell>
          <cell r="H28">
            <v>247.67</v>
          </cell>
          <cell r="I28">
            <v>-15000</v>
          </cell>
          <cell r="J28">
            <v>-30959</v>
          </cell>
        </row>
        <row r="29">
          <cell r="A29">
            <v>1157000740</v>
          </cell>
          <cell r="B29" t="str">
            <v>השת" מפעל הפיס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1160000290</v>
          </cell>
          <cell r="B30" t="str">
            <v>הכנסות מריבית</v>
          </cell>
          <cell r="C30">
            <v>0</v>
          </cell>
          <cell r="D30">
            <v>-0.48</v>
          </cell>
          <cell r="E30">
            <v>0</v>
          </cell>
          <cell r="F30">
            <v>-0.48</v>
          </cell>
          <cell r="G30">
            <v>0.48</v>
          </cell>
          <cell r="H30">
            <v>0</v>
          </cell>
          <cell r="I30">
            <v>0</v>
          </cell>
          <cell r="J30">
            <v>-0.48</v>
          </cell>
        </row>
        <row r="31">
          <cell r="A31">
            <v>1190000910</v>
          </cell>
          <cell r="B31" t="str">
            <v>מענק כללי</v>
          </cell>
          <cell r="C31">
            <v>-8323340</v>
          </cell>
          <cell r="D31">
            <v>-9743365.0899999999</v>
          </cell>
          <cell r="E31">
            <v>0</v>
          </cell>
          <cell r="F31">
            <v>-9743365.0899999999</v>
          </cell>
          <cell r="G31">
            <v>1420025.09</v>
          </cell>
          <cell r="H31">
            <v>117.06</v>
          </cell>
          <cell r="I31">
            <v>-9992000</v>
          </cell>
          <cell r="J31">
            <v>-9743365.0899999999</v>
          </cell>
        </row>
        <row r="32">
          <cell r="A32">
            <v>1190000920</v>
          </cell>
          <cell r="B32" t="str">
            <v>תקבולים ממשרד הפנים</v>
          </cell>
          <cell r="C32">
            <v>0</v>
          </cell>
          <cell r="D32">
            <v>-226425</v>
          </cell>
          <cell r="E32">
            <v>0</v>
          </cell>
          <cell r="F32">
            <v>-226425</v>
          </cell>
          <cell r="G32">
            <v>226425</v>
          </cell>
          <cell r="H32">
            <v>0</v>
          </cell>
          <cell r="I32">
            <v>0</v>
          </cell>
          <cell r="J32">
            <v>-226425</v>
          </cell>
        </row>
        <row r="33">
          <cell r="A33">
            <v>1191000910</v>
          </cell>
          <cell r="B33" t="str">
            <v>משרד הפנים שונות</v>
          </cell>
          <cell r="C33">
            <v>-248230</v>
          </cell>
          <cell r="D33">
            <v>0</v>
          </cell>
          <cell r="E33">
            <v>0</v>
          </cell>
          <cell r="F33">
            <v>0</v>
          </cell>
          <cell r="G33">
            <v>-248230</v>
          </cell>
          <cell r="H33">
            <v>0</v>
          </cell>
          <cell r="I33">
            <v>-298000</v>
          </cell>
          <cell r="J33">
            <v>0</v>
          </cell>
        </row>
        <row r="34">
          <cell r="A34">
            <v>1196000910</v>
          </cell>
          <cell r="B34" t="str">
            <v>מענק מותנה</v>
          </cell>
          <cell r="C34">
            <v>-1406940</v>
          </cell>
          <cell r="D34">
            <v>-1689270.2</v>
          </cell>
          <cell r="E34">
            <v>0</v>
          </cell>
          <cell r="F34">
            <v>-1689270.2</v>
          </cell>
          <cell r="G34">
            <v>282330.2</v>
          </cell>
          <cell r="H34">
            <v>120.06</v>
          </cell>
          <cell r="I34">
            <v>-1689000</v>
          </cell>
          <cell r="J34">
            <v>-1689270.2</v>
          </cell>
        </row>
        <row r="35">
          <cell r="A35">
            <v>1197000910</v>
          </cell>
          <cell r="B35" t="str">
            <v>מ.הפנים אבטחה מאויים 6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1212300620</v>
          </cell>
          <cell r="B36" t="str">
            <v>מכירת עגלות אשפה</v>
          </cell>
          <cell r="C36">
            <v>0</v>
          </cell>
          <cell r="D36">
            <v>-1200</v>
          </cell>
          <cell r="E36">
            <v>0</v>
          </cell>
          <cell r="F36">
            <v>-1200</v>
          </cell>
          <cell r="G36">
            <v>1200</v>
          </cell>
          <cell r="H36">
            <v>0</v>
          </cell>
          <cell r="I36">
            <v>0</v>
          </cell>
          <cell r="J36">
            <v>-1200</v>
          </cell>
        </row>
        <row r="37">
          <cell r="A37">
            <v>1213200920</v>
          </cell>
          <cell r="B37" t="str">
            <v>אגרת רשיונות עסקים</v>
          </cell>
          <cell r="C37">
            <v>0</v>
          </cell>
          <cell r="D37">
            <v>-8.83</v>
          </cell>
          <cell r="E37">
            <v>0</v>
          </cell>
          <cell r="F37">
            <v>-8.83</v>
          </cell>
          <cell r="G37">
            <v>8.83</v>
          </cell>
          <cell r="H37">
            <v>0</v>
          </cell>
          <cell r="I37">
            <v>0</v>
          </cell>
          <cell r="J37">
            <v>-8.83</v>
          </cell>
        </row>
        <row r="38">
          <cell r="A38">
            <v>1216900290</v>
          </cell>
          <cell r="B38" t="str">
            <v>היטל השבחה</v>
          </cell>
          <cell r="C38">
            <v>-416500</v>
          </cell>
          <cell r="D38">
            <v>-200000</v>
          </cell>
          <cell r="E38">
            <v>0</v>
          </cell>
          <cell r="F38">
            <v>-200000</v>
          </cell>
          <cell r="G38">
            <v>-216500</v>
          </cell>
          <cell r="H38">
            <v>48.01</v>
          </cell>
          <cell r="I38">
            <v>-500000</v>
          </cell>
          <cell r="J38">
            <v>-200000</v>
          </cell>
        </row>
        <row r="39">
          <cell r="A39">
            <v>1221000900</v>
          </cell>
          <cell r="B39" t="str">
            <v>משרד לבטחון פנים- שמירת בתי"ס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1221001900</v>
          </cell>
          <cell r="B40" t="str">
            <v>משרד לביטחון פנים עיר ללא אלימ</v>
          </cell>
          <cell r="C40">
            <v>-197420</v>
          </cell>
          <cell r="D40">
            <v>-324397</v>
          </cell>
          <cell r="E40">
            <v>0</v>
          </cell>
          <cell r="F40">
            <v>-324397</v>
          </cell>
          <cell r="G40">
            <v>126977</v>
          </cell>
          <cell r="H40">
            <v>164.31</v>
          </cell>
          <cell r="I40">
            <v>-237000</v>
          </cell>
          <cell r="J40">
            <v>-324397</v>
          </cell>
        </row>
        <row r="41">
          <cell r="A41">
            <v>1242210290</v>
          </cell>
          <cell r="B41" t="str">
            <v>פריצת דרכים בגבעה</v>
          </cell>
          <cell r="C41">
            <v>-124950</v>
          </cell>
          <cell r="D41">
            <v>-191180.59</v>
          </cell>
          <cell r="E41">
            <v>0</v>
          </cell>
          <cell r="F41">
            <v>-191180.59</v>
          </cell>
          <cell r="G41">
            <v>66230.59</v>
          </cell>
          <cell r="H41">
            <v>153</v>
          </cell>
          <cell r="I41">
            <v>-150000</v>
          </cell>
          <cell r="J41">
            <v>-191180.59</v>
          </cell>
        </row>
        <row r="42">
          <cell r="A42">
            <v>1244000790</v>
          </cell>
          <cell r="B42" t="str">
            <v>בטיחות בדרכים</v>
          </cell>
          <cell r="C42">
            <v>-29160</v>
          </cell>
          <cell r="D42">
            <v>-14800</v>
          </cell>
          <cell r="E42">
            <v>0</v>
          </cell>
          <cell r="F42">
            <v>-14800</v>
          </cell>
          <cell r="G42">
            <v>-14360</v>
          </cell>
          <cell r="H42">
            <v>50.75</v>
          </cell>
          <cell r="I42">
            <v>-35000</v>
          </cell>
          <cell r="J42">
            <v>-14800</v>
          </cell>
        </row>
        <row r="43">
          <cell r="A43">
            <v>1244100210</v>
          </cell>
          <cell r="B43" t="str">
            <v>כופר חניה</v>
          </cell>
          <cell r="C43">
            <v>-16660</v>
          </cell>
          <cell r="D43">
            <v>-12120</v>
          </cell>
          <cell r="E43">
            <v>0</v>
          </cell>
          <cell r="F43">
            <v>-12120</v>
          </cell>
          <cell r="G43">
            <v>-4540</v>
          </cell>
          <cell r="H43">
            <v>72.739999999999995</v>
          </cell>
          <cell r="I43">
            <v>-20000</v>
          </cell>
          <cell r="J43">
            <v>-12120</v>
          </cell>
        </row>
        <row r="44">
          <cell r="A44">
            <v>1249000540</v>
          </cell>
          <cell r="B44" t="str">
            <v>נכסים צבוריים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>
            <v>1296000960</v>
          </cell>
          <cell r="B45" t="str">
            <v>השת" משרד חקלאות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>
            <v>1312200920</v>
          </cell>
          <cell r="B46" t="str">
            <v>שכ"ל על יסודי</v>
          </cell>
          <cell r="C46">
            <v>-6791450</v>
          </cell>
          <cell r="D46">
            <v>-7031560.8899999997</v>
          </cell>
          <cell r="E46">
            <v>0</v>
          </cell>
          <cell r="F46">
            <v>-7031560.8899999997</v>
          </cell>
          <cell r="G46">
            <v>240110.89</v>
          </cell>
          <cell r="H46">
            <v>103.53</v>
          </cell>
          <cell r="I46">
            <v>-8153000</v>
          </cell>
          <cell r="J46">
            <v>-7031560.8899999997</v>
          </cell>
        </row>
        <row r="47">
          <cell r="A47">
            <v>1312210920</v>
          </cell>
          <cell r="B47" t="str">
            <v>מענק השתלמות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>
            <v>1312220920</v>
          </cell>
          <cell r="B48" t="str">
            <v>קרן השתלמות לשכ"ל</v>
          </cell>
          <cell r="C48">
            <v>-438990</v>
          </cell>
          <cell r="D48">
            <v>-530396.04</v>
          </cell>
          <cell r="E48">
            <v>0</v>
          </cell>
          <cell r="F48">
            <v>-530396.04</v>
          </cell>
          <cell r="G48">
            <v>91406.04</v>
          </cell>
          <cell r="H48">
            <v>120.82</v>
          </cell>
          <cell r="I48">
            <v>-527000</v>
          </cell>
          <cell r="J48">
            <v>-530396.04</v>
          </cell>
        </row>
        <row r="49">
          <cell r="A49">
            <v>1312300290</v>
          </cell>
          <cell r="B49" t="str">
            <v>טרום חובה</v>
          </cell>
          <cell r="C49">
            <v>-74970</v>
          </cell>
          <cell r="D49">
            <v>-60800</v>
          </cell>
          <cell r="E49">
            <v>0</v>
          </cell>
          <cell r="F49">
            <v>-60800</v>
          </cell>
          <cell r="G49">
            <v>-14170</v>
          </cell>
          <cell r="H49">
            <v>81.09</v>
          </cell>
          <cell r="I49">
            <v>-90000</v>
          </cell>
          <cell r="J49">
            <v>-60800</v>
          </cell>
        </row>
        <row r="50">
          <cell r="A50">
            <v>1312310290</v>
          </cell>
          <cell r="B50" t="str">
            <v>השת" נסיעות אלפרוק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>
            <v>1313200290</v>
          </cell>
          <cell r="B51" t="str">
            <v>השת" בקנית ציוד ב"ס</v>
          </cell>
          <cell r="C51">
            <v>-9160</v>
          </cell>
          <cell r="D51">
            <v>-700</v>
          </cell>
          <cell r="E51">
            <v>0</v>
          </cell>
          <cell r="F51">
            <v>-700</v>
          </cell>
          <cell r="G51">
            <v>-8460</v>
          </cell>
          <cell r="H51">
            <v>7.64</v>
          </cell>
          <cell r="I51">
            <v>-11000</v>
          </cell>
          <cell r="J51">
            <v>-700</v>
          </cell>
        </row>
        <row r="52">
          <cell r="A52">
            <v>1313200740</v>
          </cell>
          <cell r="B52" t="str">
            <v>מפעל הפיס ריהוט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1313200920</v>
          </cell>
          <cell r="B53" t="str">
            <v>עוזרות לגננות</v>
          </cell>
          <cell r="C53">
            <v>-848830</v>
          </cell>
          <cell r="D53">
            <v>-761197.42</v>
          </cell>
          <cell r="E53">
            <v>0</v>
          </cell>
          <cell r="F53">
            <v>-761197.42</v>
          </cell>
          <cell r="G53">
            <v>-87632.58</v>
          </cell>
          <cell r="H53">
            <v>89.67</v>
          </cell>
          <cell r="I53">
            <v>-1019000</v>
          </cell>
          <cell r="J53">
            <v>-761197.42</v>
          </cell>
        </row>
        <row r="54">
          <cell r="A54">
            <v>1313210920</v>
          </cell>
          <cell r="B54" t="str">
            <v>גננות עובדות מדינה</v>
          </cell>
          <cell r="C54">
            <v>0</v>
          </cell>
          <cell r="D54">
            <v>164342.71</v>
          </cell>
          <cell r="E54">
            <v>0</v>
          </cell>
          <cell r="F54">
            <v>164342.71</v>
          </cell>
          <cell r="G54">
            <v>-164342.71</v>
          </cell>
          <cell r="H54">
            <v>0</v>
          </cell>
          <cell r="I54">
            <v>0</v>
          </cell>
          <cell r="J54">
            <v>164342.71</v>
          </cell>
        </row>
        <row r="55">
          <cell r="A55">
            <v>1313220920</v>
          </cell>
          <cell r="B55" t="str">
            <v>שכר דירה</v>
          </cell>
          <cell r="C55">
            <v>-20830</v>
          </cell>
          <cell r="D55">
            <v>0</v>
          </cell>
          <cell r="E55">
            <v>0</v>
          </cell>
          <cell r="F55">
            <v>0</v>
          </cell>
          <cell r="G55">
            <v>-20830</v>
          </cell>
          <cell r="H55">
            <v>0</v>
          </cell>
          <cell r="I55">
            <v>-25000</v>
          </cell>
          <cell r="J55">
            <v>0</v>
          </cell>
        </row>
        <row r="56">
          <cell r="A56">
            <v>1313230920</v>
          </cell>
          <cell r="B56" t="str">
            <v>השת" ריהוט מ.חנוך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>
            <v>1313240920</v>
          </cell>
          <cell r="B57" t="str">
            <v>תכנית ניצנים - גנ"י</v>
          </cell>
          <cell r="C57">
            <v>0</v>
          </cell>
          <cell r="D57">
            <v>-909805</v>
          </cell>
          <cell r="E57">
            <v>0</v>
          </cell>
          <cell r="F57">
            <v>-909805</v>
          </cell>
          <cell r="G57">
            <v>909805</v>
          </cell>
          <cell r="H57">
            <v>0</v>
          </cell>
          <cell r="I57">
            <v>0</v>
          </cell>
          <cell r="J57">
            <v>-909805</v>
          </cell>
        </row>
        <row r="58">
          <cell r="A58">
            <v>1313300920</v>
          </cell>
          <cell r="B58" t="str">
            <v>סייעת שניה בגנ"י</v>
          </cell>
          <cell r="C58">
            <v>-1336130</v>
          </cell>
          <cell r="D58">
            <v>-1200705.96</v>
          </cell>
          <cell r="E58">
            <v>0</v>
          </cell>
          <cell r="F58">
            <v>-1200705.96</v>
          </cell>
          <cell r="G58">
            <v>-135424.04</v>
          </cell>
          <cell r="H58">
            <v>89.86</v>
          </cell>
          <cell r="I58">
            <v>-1604000</v>
          </cell>
          <cell r="J58">
            <v>-1200705.96</v>
          </cell>
        </row>
        <row r="59">
          <cell r="A59">
            <v>1313330920</v>
          </cell>
          <cell r="B59" t="str">
            <v>ניהול עצמי משופר א-ו</v>
          </cell>
          <cell r="C59">
            <v>0</v>
          </cell>
          <cell r="D59">
            <v>-1083874.8700000001</v>
          </cell>
          <cell r="E59">
            <v>0</v>
          </cell>
          <cell r="F59">
            <v>-1083874.8700000001</v>
          </cell>
          <cell r="G59">
            <v>1083874.8700000001</v>
          </cell>
          <cell r="H59">
            <v>0</v>
          </cell>
          <cell r="I59">
            <v>0</v>
          </cell>
          <cell r="J59">
            <v>-1083874.8700000001</v>
          </cell>
        </row>
        <row r="60">
          <cell r="A60">
            <v>1313340920</v>
          </cell>
          <cell r="B60" t="str">
            <v>עובד סיוע משופר א-ח</v>
          </cell>
          <cell r="C60">
            <v>-830</v>
          </cell>
          <cell r="D60">
            <v>-273910.03999999998</v>
          </cell>
          <cell r="E60">
            <v>0</v>
          </cell>
          <cell r="F60">
            <v>-273910.03999999998</v>
          </cell>
          <cell r="G60">
            <v>273080.03999999998</v>
          </cell>
          <cell r="H60">
            <v>33001.199999999997</v>
          </cell>
          <cell r="I60">
            <v>-1000</v>
          </cell>
          <cell r="J60">
            <v>-273910.03999999998</v>
          </cell>
        </row>
        <row r="61">
          <cell r="A61">
            <v>1313350920</v>
          </cell>
          <cell r="B61" t="str">
            <v>תוספת דפרנציאלית נ. עצמי</v>
          </cell>
          <cell r="C61">
            <v>0</v>
          </cell>
          <cell r="D61">
            <v>-363771.1</v>
          </cell>
          <cell r="E61">
            <v>0</v>
          </cell>
          <cell r="F61">
            <v>-363771.1</v>
          </cell>
          <cell r="G61">
            <v>363771.1</v>
          </cell>
          <cell r="H61">
            <v>0</v>
          </cell>
          <cell r="I61">
            <v>0</v>
          </cell>
          <cell r="J61">
            <v>-363771.1</v>
          </cell>
        </row>
        <row r="62">
          <cell r="A62">
            <v>1313360920</v>
          </cell>
          <cell r="B62" t="str">
            <v>גמול מנהליות נ.עצמי</v>
          </cell>
          <cell r="C62">
            <v>-830</v>
          </cell>
          <cell r="D62">
            <v>-7444.02</v>
          </cell>
          <cell r="E62">
            <v>0</v>
          </cell>
          <cell r="F62">
            <v>-7444.02</v>
          </cell>
          <cell r="G62">
            <v>6614.02</v>
          </cell>
          <cell r="H62">
            <v>896.86</v>
          </cell>
          <cell r="I62">
            <v>-1000</v>
          </cell>
          <cell r="J62">
            <v>-7444.02</v>
          </cell>
        </row>
        <row r="63">
          <cell r="A63">
            <v>1313400920</v>
          </cell>
          <cell r="B63" t="str">
            <v>השת" מ.חנוך פרויקטים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>
            <v>1313410290</v>
          </cell>
          <cell r="B64" t="str">
            <v>השתת" פסיכומטרי</v>
          </cell>
          <cell r="C64">
            <v>0</v>
          </cell>
          <cell r="D64">
            <v>-3900</v>
          </cell>
          <cell r="E64">
            <v>0</v>
          </cell>
          <cell r="F64">
            <v>-3900</v>
          </cell>
          <cell r="G64">
            <v>3900</v>
          </cell>
          <cell r="H64">
            <v>0</v>
          </cell>
          <cell r="I64">
            <v>0</v>
          </cell>
          <cell r="J64">
            <v>-3900</v>
          </cell>
        </row>
        <row r="65">
          <cell r="A65">
            <v>1313450920</v>
          </cell>
          <cell r="B65" t="str">
            <v>הכנסות שונות מס חינוך</v>
          </cell>
          <cell r="C65">
            <v>0</v>
          </cell>
          <cell r="D65">
            <v>-146545.42000000001</v>
          </cell>
          <cell r="E65">
            <v>0</v>
          </cell>
          <cell r="F65">
            <v>-146545.42000000001</v>
          </cell>
          <cell r="G65">
            <v>146545.42000000001</v>
          </cell>
          <cell r="H65">
            <v>0</v>
          </cell>
          <cell r="I65">
            <v>0</v>
          </cell>
          <cell r="J65">
            <v>-146545.42000000001</v>
          </cell>
        </row>
        <row r="66">
          <cell r="A66">
            <v>1313451920</v>
          </cell>
          <cell r="B66" t="str">
            <v>הנגשה אקוסטית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A67">
            <v>1313452920</v>
          </cell>
          <cell r="B67" t="str">
            <v>הנגשה פרטנית לתלמידים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>
            <v>1313453920</v>
          </cell>
          <cell r="B68" t="str">
            <v>התנסות מדעית טכנולוגית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>
            <v>1313600920</v>
          </cell>
          <cell r="B69" t="str">
            <v>תוכנית דוברת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>
            <v>1313610920</v>
          </cell>
          <cell r="B70" t="str">
            <v>חוק שילוב סייעות</v>
          </cell>
          <cell r="C70">
            <v>-244900</v>
          </cell>
          <cell r="D70">
            <v>-295868.86</v>
          </cell>
          <cell r="E70">
            <v>0</v>
          </cell>
          <cell r="F70">
            <v>-295868.86</v>
          </cell>
          <cell r="G70">
            <v>50968.86</v>
          </cell>
          <cell r="H70">
            <v>120.81</v>
          </cell>
          <cell r="I70">
            <v>-294000</v>
          </cell>
          <cell r="J70">
            <v>-295868.86</v>
          </cell>
        </row>
        <row r="71">
          <cell r="A71">
            <v>1313700920</v>
          </cell>
          <cell r="B71" t="str">
            <v>הכנסות מ.חינוך פינות עבודה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>
            <v>1313800290</v>
          </cell>
          <cell r="B72" t="str">
            <v>ביטוח תלמידים</v>
          </cell>
          <cell r="C72">
            <v>-83300</v>
          </cell>
          <cell r="D72">
            <v>-32400</v>
          </cell>
          <cell r="E72">
            <v>0</v>
          </cell>
          <cell r="F72">
            <v>-32400</v>
          </cell>
          <cell r="G72">
            <v>-50900</v>
          </cell>
          <cell r="H72">
            <v>38.89</v>
          </cell>
          <cell r="I72">
            <v>-100000</v>
          </cell>
          <cell r="J72">
            <v>-32400</v>
          </cell>
        </row>
        <row r="73">
          <cell r="A73">
            <v>1314000920</v>
          </cell>
          <cell r="B73" t="str">
            <v>שירות פסיכולוגי</v>
          </cell>
          <cell r="C73">
            <v>-537290</v>
          </cell>
          <cell r="D73">
            <v>-547051.29</v>
          </cell>
          <cell r="E73">
            <v>0</v>
          </cell>
          <cell r="F73">
            <v>-547051.29</v>
          </cell>
          <cell r="G73">
            <v>9761.2900000000009</v>
          </cell>
          <cell r="H73">
            <v>101.81</v>
          </cell>
          <cell r="I73">
            <v>-645000</v>
          </cell>
          <cell r="J73">
            <v>-547051.29</v>
          </cell>
        </row>
        <row r="74">
          <cell r="A74">
            <v>1315100920</v>
          </cell>
          <cell r="B74" t="str">
            <v>סייעות טיפוליות</v>
          </cell>
          <cell r="C74">
            <v>-364850</v>
          </cell>
          <cell r="D74">
            <v>-537504.44999999995</v>
          </cell>
          <cell r="E74">
            <v>0</v>
          </cell>
          <cell r="F74">
            <v>-537504.44999999995</v>
          </cell>
          <cell r="G74">
            <v>172654.45</v>
          </cell>
          <cell r="H74">
            <v>147.32</v>
          </cell>
          <cell r="I74">
            <v>-438000</v>
          </cell>
          <cell r="J74">
            <v>-537504.44999999995</v>
          </cell>
        </row>
        <row r="75">
          <cell r="A75">
            <v>1315110920</v>
          </cell>
          <cell r="B75" t="str">
            <v>הסעות חינוך</v>
          </cell>
          <cell r="C75">
            <v>-906300</v>
          </cell>
          <cell r="D75">
            <v>-1259810.47</v>
          </cell>
          <cell r="E75">
            <v>0</v>
          </cell>
          <cell r="F75">
            <v>-1259810.47</v>
          </cell>
          <cell r="G75">
            <v>353510.47</v>
          </cell>
          <cell r="H75">
            <v>139</v>
          </cell>
          <cell r="I75">
            <v>-1088000</v>
          </cell>
          <cell r="J75">
            <v>-1259810.47</v>
          </cell>
        </row>
        <row r="76">
          <cell r="A76">
            <v>1315111920</v>
          </cell>
          <cell r="B76" t="str">
            <v>סייעות ציל"ה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1315120420</v>
          </cell>
          <cell r="B77" t="str">
            <v>החזר נסיעות ח.מיוחד</v>
          </cell>
          <cell r="C77">
            <v>-11660</v>
          </cell>
          <cell r="D77">
            <v>0</v>
          </cell>
          <cell r="E77">
            <v>0</v>
          </cell>
          <cell r="F77">
            <v>0</v>
          </cell>
          <cell r="G77">
            <v>-11660</v>
          </cell>
          <cell r="H77">
            <v>0</v>
          </cell>
          <cell r="I77">
            <v>-14000</v>
          </cell>
          <cell r="J77">
            <v>0</v>
          </cell>
        </row>
        <row r="78">
          <cell r="A78">
            <v>1315120920</v>
          </cell>
          <cell r="B78" t="str">
            <v>דמי שתיה</v>
          </cell>
          <cell r="C78">
            <v>-5830</v>
          </cell>
          <cell r="D78">
            <v>-5126.6400000000003</v>
          </cell>
          <cell r="E78">
            <v>0</v>
          </cell>
          <cell r="F78">
            <v>-5126.6400000000003</v>
          </cell>
          <cell r="G78">
            <v>-703.36</v>
          </cell>
          <cell r="H78">
            <v>87.93</v>
          </cell>
          <cell r="I78">
            <v>-7000</v>
          </cell>
          <cell r="J78">
            <v>-5126.6400000000003</v>
          </cell>
        </row>
        <row r="79">
          <cell r="A79">
            <v>1315130920</v>
          </cell>
          <cell r="B79" t="str">
            <v>רכב מנהלים</v>
          </cell>
          <cell r="C79">
            <v>-15830</v>
          </cell>
          <cell r="D79">
            <v>-16701.599999999999</v>
          </cell>
          <cell r="E79">
            <v>0</v>
          </cell>
          <cell r="F79">
            <v>-16701.599999999999</v>
          </cell>
          <cell r="G79">
            <v>871.6</v>
          </cell>
          <cell r="H79">
            <v>105.5</v>
          </cell>
          <cell r="I79">
            <v>-19000</v>
          </cell>
          <cell r="J79">
            <v>-16701.599999999999</v>
          </cell>
        </row>
        <row r="80">
          <cell r="A80">
            <v>1315140920</v>
          </cell>
          <cell r="B80" t="str">
            <v>רכב סגנים</v>
          </cell>
          <cell r="C80">
            <v>-2500</v>
          </cell>
          <cell r="D80">
            <v>-3256.8</v>
          </cell>
          <cell r="E80">
            <v>0</v>
          </cell>
          <cell r="F80">
            <v>-3256.8</v>
          </cell>
          <cell r="G80">
            <v>756.8</v>
          </cell>
          <cell r="H80">
            <v>130.27000000000001</v>
          </cell>
          <cell r="I80">
            <v>-3000</v>
          </cell>
          <cell r="J80">
            <v>-3256.8</v>
          </cell>
        </row>
        <row r="81">
          <cell r="A81">
            <v>1315150920</v>
          </cell>
          <cell r="B81" t="str">
            <v>הוצ נלוות ח.מיוחד</v>
          </cell>
          <cell r="C81">
            <v>-404010</v>
          </cell>
          <cell r="D81">
            <v>-196881.88</v>
          </cell>
          <cell r="E81">
            <v>0</v>
          </cell>
          <cell r="F81">
            <v>-196881.88</v>
          </cell>
          <cell r="G81">
            <v>-207128.12</v>
          </cell>
          <cell r="H81">
            <v>48.73</v>
          </cell>
          <cell r="I81">
            <v>-485000</v>
          </cell>
          <cell r="J81">
            <v>-196881.88</v>
          </cell>
        </row>
        <row r="82">
          <cell r="A82">
            <v>1315160920</v>
          </cell>
          <cell r="B82" t="str">
            <v>חיוב אגרת תלמיד חוץ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1315170920</v>
          </cell>
          <cell r="B83" t="str">
            <v>שעות פרטניות -עוז לתמורה</v>
          </cell>
          <cell r="C83">
            <v>-2221610</v>
          </cell>
          <cell r="D83">
            <v>-2604420.58</v>
          </cell>
          <cell r="E83">
            <v>0</v>
          </cell>
          <cell r="F83">
            <v>-2604420.58</v>
          </cell>
          <cell r="G83">
            <v>382810.58</v>
          </cell>
          <cell r="H83">
            <v>117.23</v>
          </cell>
          <cell r="I83">
            <v>-2667000</v>
          </cell>
          <cell r="J83">
            <v>-2604420.58</v>
          </cell>
        </row>
        <row r="84">
          <cell r="A84">
            <v>1315171920</v>
          </cell>
          <cell r="B84" t="str">
            <v>שעות תומכות - עוז לתמורה</v>
          </cell>
          <cell r="C84">
            <v>0</v>
          </cell>
          <cell r="D84">
            <v>-1399187.4</v>
          </cell>
          <cell r="E84">
            <v>0</v>
          </cell>
          <cell r="F84">
            <v>-1399187.4</v>
          </cell>
          <cell r="G84">
            <v>1399187.4</v>
          </cell>
          <cell r="H84">
            <v>0</v>
          </cell>
          <cell r="I84">
            <v>0</v>
          </cell>
          <cell r="J84">
            <v>-1399187.4</v>
          </cell>
        </row>
        <row r="85">
          <cell r="A85">
            <v>1315180740</v>
          </cell>
          <cell r="B85" t="str">
            <v>השת" בחשמל בי"ס עתיד</v>
          </cell>
          <cell r="C85">
            <v>-58310</v>
          </cell>
          <cell r="D85">
            <v>0</v>
          </cell>
          <cell r="E85">
            <v>0</v>
          </cell>
          <cell r="F85">
            <v>0</v>
          </cell>
          <cell r="G85">
            <v>-58310</v>
          </cell>
          <cell r="H85">
            <v>0</v>
          </cell>
          <cell r="I85">
            <v>-70000</v>
          </cell>
          <cell r="J85">
            <v>0</v>
          </cell>
        </row>
        <row r="86">
          <cell r="A86">
            <v>1315200920</v>
          </cell>
          <cell r="B86" t="str">
            <v>מגמת אומניות העיצוב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1317100920</v>
          </cell>
          <cell r="B87" t="str">
            <v>קב"ט בחינוך</v>
          </cell>
          <cell r="C87">
            <v>-41650</v>
          </cell>
          <cell r="D87">
            <v>-408013.84</v>
          </cell>
          <cell r="E87">
            <v>0</v>
          </cell>
          <cell r="F87">
            <v>-408013.84</v>
          </cell>
          <cell r="G87">
            <v>366363.84</v>
          </cell>
          <cell r="H87">
            <v>979.62</v>
          </cell>
          <cell r="I87">
            <v>-50000</v>
          </cell>
          <cell r="J87">
            <v>-408013.84</v>
          </cell>
        </row>
        <row r="88">
          <cell r="A88">
            <v>1317200920</v>
          </cell>
          <cell r="B88" t="str">
            <v>השת" בציוד בטיחות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1317300920</v>
          </cell>
          <cell r="B89" t="str">
            <v>מרכיבי בטחון מסודות חינוך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1317400920</v>
          </cell>
          <cell r="B90" t="str">
            <v>סייעות רפאיות</v>
          </cell>
          <cell r="C90">
            <v>-94130</v>
          </cell>
          <cell r="D90">
            <v>-29564.38</v>
          </cell>
          <cell r="E90">
            <v>0</v>
          </cell>
          <cell r="F90">
            <v>-29564.38</v>
          </cell>
          <cell r="G90">
            <v>-64565.62</v>
          </cell>
          <cell r="H90">
            <v>31.4</v>
          </cell>
          <cell r="I90">
            <v>-113000</v>
          </cell>
          <cell r="J90">
            <v>-29564.38</v>
          </cell>
        </row>
        <row r="91">
          <cell r="A91">
            <v>1317500220</v>
          </cell>
          <cell r="B91" t="str">
            <v>ביטוח ילדים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1317500920</v>
          </cell>
          <cell r="B92" t="str">
            <v>סל תלמיד-חט"ב_+שכפול</v>
          </cell>
          <cell r="C92">
            <v>-1341130</v>
          </cell>
          <cell r="D92">
            <v>-1383033.06</v>
          </cell>
          <cell r="E92">
            <v>0</v>
          </cell>
          <cell r="F92">
            <v>-1383033.06</v>
          </cell>
          <cell r="G92">
            <v>41903.06</v>
          </cell>
          <cell r="H92">
            <v>103.12</v>
          </cell>
          <cell r="I92">
            <v>-1610000</v>
          </cell>
          <cell r="J92">
            <v>-1383033.06</v>
          </cell>
        </row>
        <row r="93">
          <cell r="A93">
            <v>1317510920</v>
          </cell>
          <cell r="B93" t="str">
            <v>תשלומי הורים חומרים</v>
          </cell>
          <cell r="C93">
            <v>-208250</v>
          </cell>
          <cell r="D93">
            <v>-192273.34</v>
          </cell>
          <cell r="E93">
            <v>0</v>
          </cell>
          <cell r="F93">
            <v>-192273.34</v>
          </cell>
          <cell r="G93">
            <v>-15976.66</v>
          </cell>
          <cell r="H93">
            <v>92.32</v>
          </cell>
          <cell r="I93">
            <v>-250000</v>
          </cell>
          <cell r="J93">
            <v>-192273.34</v>
          </cell>
        </row>
        <row r="94">
          <cell r="A94">
            <v>1317520920</v>
          </cell>
          <cell r="B94" t="str">
            <v>חברה הוגנת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1317530920</v>
          </cell>
          <cell r="B95" t="str">
            <v>הבראה וביגוד</v>
          </cell>
          <cell r="C95">
            <v>-485640</v>
          </cell>
          <cell r="D95">
            <v>-475235.83</v>
          </cell>
          <cell r="E95">
            <v>0</v>
          </cell>
          <cell r="F95">
            <v>-475235.83</v>
          </cell>
          <cell r="G95">
            <v>-10404.17</v>
          </cell>
          <cell r="H95">
            <v>97.85</v>
          </cell>
          <cell r="I95">
            <v>-583000</v>
          </cell>
          <cell r="J95">
            <v>-475235.83</v>
          </cell>
        </row>
        <row r="96">
          <cell r="A96">
            <v>1317561920</v>
          </cell>
          <cell r="B96" t="str">
            <v>גמול בגרות אחוזי</v>
          </cell>
          <cell r="C96">
            <v>-150770</v>
          </cell>
          <cell r="D96">
            <v>-145635.66</v>
          </cell>
          <cell r="E96">
            <v>0</v>
          </cell>
          <cell r="F96">
            <v>-145635.66</v>
          </cell>
          <cell r="G96">
            <v>-5134.34</v>
          </cell>
          <cell r="H96">
            <v>96.59</v>
          </cell>
          <cell r="I96">
            <v>-181000</v>
          </cell>
          <cell r="J96">
            <v>-145635.66</v>
          </cell>
        </row>
        <row r="97">
          <cell r="A97">
            <v>1317565920</v>
          </cell>
          <cell r="B97" t="str">
            <v>מתמטיקה תחילה</v>
          </cell>
          <cell r="C97">
            <v>-24990</v>
          </cell>
          <cell r="D97">
            <v>-55011.77</v>
          </cell>
          <cell r="E97">
            <v>0</v>
          </cell>
          <cell r="F97">
            <v>-55011.77</v>
          </cell>
          <cell r="G97">
            <v>30021.77</v>
          </cell>
          <cell r="H97">
            <v>220.13</v>
          </cell>
          <cell r="I97">
            <v>-30000</v>
          </cell>
          <cell r="J97">
            <v>-55011.77</v>
          </cell>
        </row>
        <row r="98">
          <cell r="A98">
            <v>1317566920</v>
          </cell>
          <cell r="B98" t="str">
            <v>תוכנית סולמות אנגלית</v>
          </cell>
          <cell r="C98">
            <v>0</v>
          </cell>
          <cell r="D98">
            <v>-26385.279999999999</v>
          </cell>
          <cell r="E98">
            <v>0</v>
          </cell>
          <cell r="F98">
            <v>-26385.279999999999</v>
          </cell>
          <cell r="G98">
            <v>26385.279999999999</v>
          </cell>
          <cell r="H98">
            <v>0</v>
          </cell>
          <cell r="I98">
            <v>0</v>
          </cell>
          <cell r="J98">
            <v>-26385.279999999999</v>
          </cell>
        </row>
        <row r="99">
          <cell r="A99">
            <v>1317567920</v>
          </cell>
          <cell r="B99" t="str">
            <v>מנהל תחום תרבותי</v>
          </cell>
          <cell r="C99">
            <v>-6660</v>
          </cell>
          <cell r="D99">
            <v>-51389.99</v>
          </cell>
          <cell r="E99">
            <v>0</v>
          </cell>
          <cell r="F99">
            <v>-51389.99</v>
          </cell>
          <cell r="G99">
            <v>44729.99</v>
          </cell>
          <cell r="H99">
            <v>771.62</v>
          </cell>
          <cell r="I99">
            <v>-8000</v>
          </cell>
          <cell r="J99">
            <v>-51389.99</v>
          </cell>
        </row>
        <row r="100">
          <cell r="A100">
            <v>1317568920</v>
          </cell>
          <cell r="B100" t="str">
            <v>משרות דרגות קידום</v>
          </cell>
          <cell r="C100">
            <v>-830</v>
          </cell>
          <cell r="D100">
            <v>-2199.37</v>
          </cell>
          <cell r="E100">
            <v>0</v>
          </cell>
          <cell r="F100">
            <v>-2199.37</v>
          </cell>
          <cell r="G100">
            <v>1369.37</v>
          </cell>
          <cell r="H100">
            <v>264.98</v>
          </cell>
          <cell r="I100">
            <v>-1000</v>
          </cell>
          <cell r="J100">
            <v>-2199.37</v>
          </cell>
        </row>
        <row r="101">
          <cell r="A101">
            <v>1317569920</v>
          </cell>
          <cell r="B101" t="str">
            <v>ת.תקשוב-קיזוז רשויות</v>
          </cell>
          <cell r="C101">
            <v>0</v>
          </cell>
          <cell r="D101">
            <v>-159180.72</v>
          </cell>
          <cell r="E101">
            <v>0</v>
          </cell>
          <cell r="F101">
            <v>-159180.72</v>
          </cell>
          <cell r="G101">
            <v>159180.72</v>
          </cell>
          <cell r="H101">
            <v>0</v>
          </cell>
          <cell r="I101">
            <v>0</v>
          </cell>
          <cell r="J101">
            <v>-159180.72</v>
          </cell>
        </row>
        <row r="102">
          <cell r="A102">
            <v>1317600920</v>
          </cell>
          <cell r="B102" t="str">
            <v>גמול טיולים</v>
          </cell>
          <cell r="C102">
            <v>-126620</v>
          </cell>
          <cell r="D102">
            <v>-146788.28</v>
          </cell>
          <cell r="E102">
            <v>0</v>
          </cell>
          <cell r="F102">
            <v>-146788.28</v>
          </cell>
          <cell r="G102">
            <v>20168.28</v>
          </cell>
          <cell r="H102">
            <v>115.92</v>
          </cell>
          <cell r="I102">
            <v>-152000</v>
          </cell>
          <cell r="J102">
            <v>-146788.28</v>
          </cell>
        </row>
        <row r="103">
          <cell r="A103">
            <v>1317610920</v>
          </cell>
          <cell r="B103" t="str">
            <v>השתתפות בטיולים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1317620920</v>
          </cell>
          <cell r="B104" t="str">
            <v>ציוד ומכשירים חנ"ג</v>
          </cell>
          <cell r="C104">
            <v>0</v>
          </cell>
          <cell r="D104">
            <v>1000</v>
          </cell>
          <cell r="E104">
            <v>0</v>
          </cell>
          <cell r="F104">
            <v>1000</v>
          </cell>
          <cell r="G104">
            <v>-1000</v>
          </cell>
          <cell r="H104">
            <v>0</v>
          </cell>
          <cell r="I104">
            <v>0</v>
          </cell>
          <cell r="J104">
            <v>1000</v>
          </cell>
        </row>
        <row r="105">
          <cell r="A105">
            <v>1317700920</v>
          </cell>
          <cell r="B105" t="str">
            <v>קבסי"ם  מ.חנוך</v>
          </cell>
          <cell r="C105">
            <v>-169100</v>
          </cell>
          <cell r="D105">
            <v>-123851.25</v>
          </cell>
          <cell r="E105">
            <v>0</v>
          </cell>
          <cell r="F105">
            <v>-123851.25</v>
          </cell>
          <cell r="G105">
            <v>-45248.75</v>
          </cell>
          <cell r="H105">
            <v>73.239999999999995</v>
          </cell>
          <cell r="I105">
            <v>-203000</v>
          </cell>
          <cell r="J105">
            <v>-123851.25</v>
          </cell>
        </row>
        <row r="106">
          <cell r="A106">
            <v>1317710920</v>
          </cell>
          <cell r="B106" t="str">
            <v>תוכנית מניפה למניעת נשירה</v>
          </cell>
          <cell r="C106">
            <v>-45820</v>
          </cell>
          <cell r="D106">
            <v>-3943.02</v>
          </cell>
          <cell r="E106">
            <v>0</v>
          </cell>
          <cell r="F106">
            <v>-3943.02</v>
          </cell>
          <cell r="G106">
            <v>-41876.980000000003</v>
          </cell>
          <cell r="H106">
            <v>8.6</v>
          </cell>
          <cell r="I106">
            <v>-55000</v>
          </cell>
          <cell r="J106">
            <v>-3943.02</v>
          </cell>
        </row>
        <row r="107">
          <cell r="A107">
            <v>1317720920</v>
          </cell>
          <cell r="B107" t="str">
            <v>מילוי מקום מוסודת</v>
          </cell>
          <cell r="C107">
            <v>-23320</v>
          </cell>
          <cell r="D107">
            <v>-25645.46</v>
          </cell>
          <cell r="E107">
            <v>0</v>
          </cell>
          <cell r="F107">
            <v>-25645.46</v>
          </cell>
          <cell r="G107">
            <v>2325.46</v>
          </cell>
          <cell r="H107">
            <v>109.97</v>
          </cell>
          <cell r="I107">
            <v>-28000</v>
          </cell>
          <cell r="J107">
            <v>-25645.46</v>
          </cell>
        </row>
        <row r="108">
          <cell r="A108">
            <v>1317730920</v>
          </cell>
          <cell r="B108" t="str">
            <v>שעות תפקיד רכז מקצוע</v>
          </cell>
          <cell r="C108">
            <v>-49980</v>
          </cell>
          <cell r="D108">
            <v>-64134.87</v>
          </cell>
          <cell r="E108">
            <v>0</v>
          </cell>
          <cell r="F108">
            <v>-64134.87</v>
          </cell>
          <cell r="G108">
            <v>14154.87</v>
          </cell>
          <cell r="H108">
            <v>128.32</v>
          </cell>
          <cell r="I108">
            <v>-60000</v>
          </cell>
          <cell r="J108">
            <v>-64134.87</v>
          </cell>
        </row>
        <row r="109">
          <cell r="A109">
            <v>1317740920</v>
          </cell>
          <cell r="B109" t="str">
            <v>אוריינות מדעית</v>
          </cell>
          <cell r="C109">
            <v>-7500</v>
          </cell>
          <cell r="D109">
            <v>-6272.92</v>
          </cell>
          <cell r="E109">
            <v>0</v>
          </cell>
          <cell r="F109">
            <v>-6272.92</v>
          </cell>
          <cell r="G109">
            <v>-1227.08</v>
          </cell>
          <cell r="H109">
            <v>83.63</v>
          </cell>
          <cell r="I109">
            <v>-9000</v>
          </cell>
          <cell r="J109">
            <v>-6272.92</v>
          </cell>
        </row>
        <row r="110">
          <cell r="A110">
            <v>1317750920</v>
          </cell>
          <cell r="B110" t="str">
            <v>עתודה מדעית טכנולוגית</v>
          </cell>
          <cell r="C110">
            <v>-47480</v>
          </cell>
          <cell r="D110">
            <v>-108802.81</v>
          </cell>
          <cell r="E110">
            <v>0</v>
          </cell>
          <cell r="F110">
            <v>-108802.81</v>
          </cell>
          <cell r="G110">
            <v>61322.81</v>
          </cell>
          <cell r="H110">
            <v>229.15</v>
          </cell>
          <cell r="I110">
            <v>-57000</v>
          </cell>
          <cell r="J110">
            <v>-108802.81</v>
          </cell>
        </row>
        <row r="111">
          <cell r="A111">
            <v>1317800920</v>
          </cell>
          <cell r="B111" t="str">
            <v>מענק יובל</v>
          </cell>
          <cell r="C111">
            <v>-49980</v>
          </cell>
          <cell r="D111">
            <v>-69540.72</v>
          </cell>
          <cell r="E111">
            <v>0</v>
          </cell>
          <cell r="F111">
            <v>-69540.72</v>
          </cell>
          <cell r="G111">
            <v>19560.72</v>
          </cell>
          <cell r="H111">
            <v>139.13</v>
          </cell>
          <cell r="I111">
            <v>-60000</v>
          </cell>
          <cell r="J111">
            <v>-69540.72</v>
          </cell>
        </row>
        <row r="112">
          <cell r="A112">
            <v>1317810920</v>
          </cell>
          <cell r="B112" t="str">
            <v>שיפור סביבה תיכון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1317820920</v>
          </cell>
          <cell r="B113" t="str">
            <v>מזכירים</v>
          </cell>
          <cell r="C113">
            <v>-41650</v>
          </cell>
          <cell r="D113">
            <v>-74300.78</v>
          </cell>
          <cell r="E113">
            <v>0</v>
          </cell>
          <cell r="F113">
            <v>-74300.78</v>
          </cell>
          <cell r="G113">
            <v>32650.78</v>
          </cell>
          <cell r="H113">
            <v>178.39</v>
          </cell>
          <cell r="I113">
            <v>-50000</v>
          </cell>
          <cell r="J113">
            <v>-74300.78</v>
          </cell>
        </row>
        <row r="114">
          <cell r="A114">
            <v>1317830920</v>
          </cell>
          <cell r="B114" t="str">
            <v>שרתים</v>
          </cell>
          <cell r="C114">
            <v>-133280</v>
          </cell>
          <cell r="D114">
            <v>-200885.38</v>
          </cell>
          <cell r="E114">
            <v>0</v>
          </cell>
          <cell r="F114">
            <v>-200885.38</v>
          </cell>
          <cell r="G114">
            <v>67605.38</v>
          </cell>
          <cell r="H114">
            <v>150.72</v>
          </cell>
          <cell r="I114">
            <v>-160000</v>
          </cell>
          <cell r="J114">
            <v>-200885.38</v>
          </cell>
        </row>
        <row r="115">
          <cell r="A115">
            <v>1317831920</v>
          </cell>
          <cell r="B115" t="str">
            <v>פדיון ימי חופשה שרתים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1317840920</v>
          </cell>
          <cell r="B116" t="str">
            <v>שכ"ל גני ילדים</v>
          </cell>
          <cell r="C116">
            <v>-2898840</v>
          </cell>
          <cell r="D116">
            <v>-3120034.8</v>
          </cell>
          <cell r="E116">
            <v>0</v>
          </cell>
          <cell r="F116">
            <v>-3120034.8</v>
          </cell>
          <cell r="G116">
            <v>221194.8</v>
          </cell>
          <cell r="H116">
            <v>107.63</v>
          </cell>
          <cell r="I116">
            <v>-3480000</v>
          </cell>
          <cell r="J116">
            <v>-3120034.8</v>
          </cell>
        </row>
        <row r="117">
          <cell r="A117">
            <v>1317841920</v>
          </cell>
          <cell r="B117" t="str">
            <v>ניהול עצמי משופר</v>
          </cell>
          <cell r="C117">
            <v>-1052910</v>
          </cell>
          <cell r="D117">
            <v>0</v>
          </cell>
          <cell r="E117">
            <v>0</v>
          </cell>
          <cell r="F117">
            <v>0</v>
          </cell>
          <cell r="G117">
            <v>-1052910</v>
          </cell>
          <cell r="H117">
            <v>0</v>
          </cell>
          <cell r="I117">
            <v>-1264000</v>
          </cell>
          <cell r="J117">
            <v>0</v>
          </cell>
        </row>
        <row r="118">
          <cell r="A118">
            <v>1317842920</v>
          </cell>
          <cell r="B118" t="str">
            <v>הצטידות גני ילדים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1317850920</v>
          </cell>
          <cell r="B119" t="str">
            <v>אולפנים</v>
          </cell>
          <cell r="C119">
            <v>-11660</v>
          </cell>
          <cell r="D119">
            <v>-6585.68</v>
          </cell>
          <cell r="E119">
            <v>0</v>
          </cell>
          <cell r="F119">
            <v>-6585.68</v>
          </cell>
          <cell r="G119">
            <v>-5074.32</v>
          </cell>
          <cell r="H119">
            <v>56.48</v>
          </cell>
          <cell r="I119">
            <v>-14000</v>
          </cell>
          <cell r="J119">
            <v>-6585.68</v>
          </cell>
        </row>
        <row r="120">
          <cell r="A120">
            <v>1317851920</v>
          </cell>
          <cell r="B120" t="str">
            <v>עובדי סיוע - ניהול עצמי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1317860920</v>
          </cell>
          <cell r="B121" t="str">
            <v>מעדונית ברשיות</v>
          </cell>
          <cell r="C121">
            <v>-275720</v>
          </cell>
          <cell r="D121">
            <v>-314110.99</v>
          </cell>
          <cell r="E121">
            <v>0</v>
          </cell>
          <cell r="F121">
            <v>-314110.99</v>
          </cell>
          <cell r="G121">
            <v>38390.99</v>
          </cell>
          <cell r="H121">
            <v>113.92</v>
          </cell>
          <cell r="I121">
            <v>-331000</v>
          </cell>
          <cell r="J121">
            <v>-314110.99</v>
          </cell>
        </row>
        <row r="122">
          <cell r="A122">
            <v>1317861920</v>
          </cell>
          <cell r="B122" t="str">
            <v>תוספת דפרנצילית- ניהול עצמי</v>
          </cell>
          <cell r="C122">
            <v>0</v>
          </cell>
          <cell r="D122">
            <v>90</v>
          </cell>
          <cell r="E122">
            <v>0</v>
          </cell>
          <cell r="F122">
            <v>90</v>
          </cell>
          <cell r="G122">
            <v>-90</v>
          </cell>
          <cell r="H122">
            <v>0</v>
          </cell>
          <cell r="I122">
            <v>0</v>
          </cell>
          <cell r="J122">
            <v>90</v>
          </cell>
        </row>
        <row r="123">
          <cell r="A123">
            <v>1317870690</v>
          </cell>
          <cell r="B123" t="str">
            <v>ביטוח לאומי הקצבה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1317870920</v>
          </cell>
          <cell r="B124" t="str">
            <v>מחשבים לבי"ס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1317875920</v>
          </cell>
          <cell r="B125" t="str">
            <v>חותם "רשיונות למחשבים"</v>
          </cell>
          <cell r="C125">
            <v>0</v>
          </cell>
          <cell r="D125">
            <v>13576.53</v>
          </cell>
          <cell r="E125">
            <v>0</v>
          </cell>
          <cell r="F125">
            <v>13576.53</v>
          </cell>
          <cell r="G125">
            <v>-13576.53</v>
          </cell>
          <cell r="H125">
            <v>0</v>
          </cell>
          <cell r="I125">
            <v>0</v>
          </cell>
          <cell r="J125">
            <v>13576.53</v>
          </cell>
        </row>
        <row r="126">
          <cell r="A126">
            <v>1317880920</v>
          </cell>
          <cell r="B126" t="str">
            <v>הצטיידות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1317890920</v>
          </cell>
          <cell r="B127" t="str">
            <v>יוזמות מנהל מחוז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1317891920</v>
          </cell>
          <cell r="B128" t="str">
            <v>תוכנית אומץ מנ"ע ונחשון</v>
          </cell>
          <cell r="C128">
            <v>-83300</v>
          </cell>
          <cell r="D128">
            <v>-146666.46</v>
          </cell>
          <cell r="E128">
            <v>0</v>
          </cell>
          <cell r="F128">
            <v>-146666.46</v>
          </cell>
          <cell r="G128">
            <v>63366.46</v>
          </cell>
          <cell r="H128">
            <v>176.07</v>
          </cell>
          <cell r="I128">
            <v>-100000</v>
          </cell>
          <cell r="J128">
            <v>-146666.46</v>
          </cell>
        </row>
        <row r="129">
          <cell r="A129">
            <v>1317893920</v>
          </cell>
          <cell r="B129" t="str">
            <v>השלמת בגרות לי"ג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1317894920</v>
          </cell>
          <cell r="B130" t="str">
            <v>שרותי היקף בתי נוער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1317895920</v>
          </cell>
          <cell r="B131" t="str">
            <v>מוביל בי"ס מניעת סמים</v>
          </cell>
          <cell r="C131">
            <v>-5000</v>
          </cell>
          <cell r="D131">
            <v>-3873.2</v>
          </cell>
          <cell r="E131">
            <v>0</v>
          </cell>
          <cell r="F131">
            <v>-3873.2</v>
          </cell>
          <cell r="G131">
            <v>-1126.8</v>
          </cell>
          <cell r="H131">
            <v>77.459999999999994</v>
          </cell>
          <cell r="I131">
            <v>-6000</v>
          </cell>
          <cell r="J131">
            <v>-3873.2</v>
          </cell>
        </row>
        <row r="132">
          <cell r="A132">
            <v>1317896920</v>
          </cell>
          <cell r="B132" t="str">
            <v>מוחזקות חדשה בי"ס תיכון</v>
          </cell>
          <cell r="C132">
            <v>-497300</v>
          </cell>
          <cell r="D132">
            <v>-465798.16</v>
          </cell>
          <cell r="E132">
            <v>0</v>
          </cell>
          <cell r="F132">
            <v>-465798.16</v>
          </cell>
          <cell r="G132">
            <v>-31501.84</v>
          </cell>
          <cell r="H132">
            <v>93.66</v>
          </cell>
          <cell r="I132">
            <v>-597000</v>
          </cell>
          <cell r="J132">
            <v>-465798.16</v>
          </cell>
        </row>
        <row r="133">
          <cell r="A133">
            <v>1317897920</v>
          </cell>
          <cell r="B133" t="str">
            <v>מסלול משופר חרשים עוורים</v>
          </cell>
          <cell r="C133">
            <v>-15830</v>
          </cell>
          <cell r="D133">
            <v>-27220.32</v>
          </cell>
          <cell r="E133">
            <v>0</v>
          </cell>
          <cell r="F133">
            <v>-27220.32</v>
          </cell>
          <cell r="G133">
            <v>11390.32</v>
          </cell>
          <cell r="H133">
            <v>171.95</v>
          </cell>
          <cell r="I133">
            <v>-19000</v>
          </cell>
          <cell r="J133">
            <v>-27220.32</v>
          </cell>
        </row>
        <row r="134">
          <cell r="A134">
            <v>1317898920</v>
          </cell>
          <cell r="B134" t="str">
            <v>מטה שנהר וקרמניצר</v>
          </cell>
          <cell r="C134">
            <v>-31650</v>
          </cell>
          <cell r="D134">
            <v>-11949.69</v>
          </cell>
          <cell r="E134">
            <v>0</v>
          </cell>
          <cell r="F134">
            <v>-11949.69</v>
          </cell>
          <cell r="G134">
            <v>-19700.310000000001</v>
          </cell>
          <cell r="H134">
            <v>37.75</v>
          </cell>
          <cell r="I134">
            <v>-38000</v>
          </cell>
          <cell r="J134">
            <v>-11949.69</v>
          </cell>
        </row>
        <row r="135">
          <cell r="A135">
            <v>1317900920</v>
          </cell>
          <cell r="B135" t="str">
            <v>שרותים אחרים מ.חנוך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>
            <v>1318000920</v>
          </cell>
          <cell r="B136" t="str">
            <v>תהיל"ה</v>
          </cell>
          <cell r="C136">
            <v>-5000</v>
          </cell>
          <cell r="D136">
            <v>0</v>
          </cell>
          <cell r="E136">
            <v>0</v>
          </cell>
          <cell r="F136">
            <v>0</v>
          </cell>
          <cell r="G136">
            <v>-5000</v>
          </cell>
          <cell r="H136">
            <v>0</v>
          </cell>
          <cell r="I136">
            <v>-6000</v>
          </cell>
          <cell r="J136">
            <v>0</v>
          </cell>
        </row>
        <row r="137">
          <cell r="A137">
            <v>1318100740</v>
          </cell>
          <cell r="B137" t="str">
            <v>מ.הפיס -ספריה צבורית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1318100920</v>
          </cell>
          <cell r="B138" t="str">
            <v>ספריה ציבורית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1319000920</v>
          </cell>
          <cell r="B139" t="str">
            <v>מסגרת קיץ פר תלמיד רגיל</v>
          </cell>
          <cell r="C139">
            <v>-462320</v>
          </cell>
          <cell r="D139">
            <v>-529135.63</v>
          </cell>
          <cell r="E139">
            <v>0</v>
          </cell>
          <cell r="F139">
            <v>-529135.63</v>
          </cell>
          <cell r="G139">
            <v>66815.63</v>
          </cell>
          <cell r="H139">
            <v>114.45</v>
          </cell>
          <cell r="I139">
            <v>-555000</v>
          </cell>
          <cell r="J139">
            <v>-529135.63</v>
          </cell>
        </row>
        <row r="140">
          <cell r="A140">
            <v>1319100920</v>
          </cell>
          <cell r="B140" t="str">
            <v>מסגרת קיץ פר מוסד</v>
          </cell>
          <cell r="C140">
            <v>-43320</v>
          </cell>
          <cell r="D140">
            <v>-47395</v>
          </cell>
          <cell r="E140">
            <v>0</v>
          </cell>
          <cell r="F140">
            <v>-47395</v>
          </cell>
          <cell r="G140">
            <v>4075</v>
          </cell>
          <cell r="H140">
            <v>109.4</v>
          </cell>
          <cell r="I140">
            <v>-52000</v>
          </cell>
          <cell r="J140">
            <v>-47395</v>
          </cell>
        </row>
        <row r="141">
          <cell r="A141">
            <v>1319200920</v>
          </cell>
          <cell r="B141" t="str">
            <v>הסעות מסגרות קיץ פר מסלול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A142">
            <v>1323000220</v>
          </cell>
          <cell r="B142" t="str">
            <v>טרום חובה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>
            <v>1323000920</v>
          </cell>
          <cell r="B143" t="str">
            <v>משרד התרבות - קידום נוער</v>
          </cell>
          <cell r="C143">
            <v>-65810</v>
          </cell>
          <cell r="D143">
            <v>0</v>
          </cell>
          <cell r="E143">
            <v>0</v>
          </cell>
          <cell r="F143">
            <v>0</v>
          </cell>
          <cell r="G143">
            <v>-65810</v>
          </cell>
          <cell r="H143">
            <v>0</v>
          </cell>
          <cell r="I143">
            <v>-79000</v>
          </cell>
          <cell r="J143">
            <v>0</v>
          </cell>
        </row>
        <row r="144">
          <cell r="A144">
            <v>1323100920</v>
          </cell>
          <cell r="B144" t="str">
            <v>משרד התרבות יחידת נוער</v>
          </cell>
          <cell r="C144">
            <v>-33320</v>
          </cell>
          <cell r="D144">
            <v>-57208</v>
          </cell>
          <cell r="E144">
            <v>0</v>
          </cell>
          <cell r="F144">
            <v>-57208</v>
          </cell>
          <cell r="G144">
            <v>23888</v>
          </cell>
          <cell r="H144">
            <v>171.69</v>
          </cell>
          <cell r="I144">
            <v>-40000</v>
          </cell>
          <cell r="J144">
            <v>-57208</v>
          </cell>
        </row>
        <row r="145">
          <cell r="A145">
            <v>1324000420</v>
          </cell>
          <cell r="B145" t="str">
            <v>השתתפות הורים</v>
          </cell>
          <cell r="C145">
            <v>-830</v>
          </cell>
          <cell r="D145">
            <v>-750</v>
          </cell>
          <cell r="E145">
            <v>0</v>
          </cell>
          <cell r="F145">
            <v>-750</v>
          </cell>
          <cell r="G145">
            <v>-80</v>
          </cell>
          <cell r="H145">
            <v>90.36</v>
          </cell>
          <cell r="I145">
            <v>-1000</v>
          </cell>
          <cell r="J145">
            <v>-750</v>
          </cell>
        </row>
        <row r="146">
          <cell r="A146">
            <v>1324000720</v>
          </cell>
          <cell r="B146" t="str">
            <v>מ.תחבורה תרבות</v>
          </cell>
          <cell r="C146">
            <v>-46650</v>
          </cell>
          <cell r="D146">
            <v>0</v>
          </cell>
          <cell r="E146">
            <v>0</v>
          </cell>
          <cell r="F146">
            <v>0</v>
          </cell>
          <cell r="G146">
            <v>-46650</v>
          </cell>
          <cell r="H146">
            <v>0</v>
          </cell>
          <cell r="I146">
            <v>-56000</v>
          </cell>
          <cell r="J146">
            <v>0</v>
          </cell>
        </row>
        <row r="147">
          <cell r="A147">
            <v>1324000920</v>
          </cell>
          <cell r="B147" t="str">
            <v>מ.חנוך -מעדנית נוער</v>
          </cell>
          <cell r="C147">
            <v>-100790</v>
          </cell>
          <cell r="D147">
            <v>-37676.720000000001</v>
          </cell>
          <cell r="E147">
            <v>0</v>
          </cell>
          <cell r="F147">
            <v>-37676.720000000001</v>
          </cell>
          <cell r="G147">
            <v>-63113.279999999999</v>
          </cell>
          <cell r="H147">
            <v>37.380000000000003</v>
          </cell>
          <cell r="I147">
            <v>-121000</v>
          </cell>
          <cell r="J147">
            <v>-37676.720000000001</v>
          </cell>
        </row>
        <row r="148">
          <cell r="A148">
            <v>1324100410</v>
          </cell>
          <cell r="B148" t="str">
            <v>חינוך מבוגרים השת"</v>
          </cell>
          <cell r="C148">
            <v>0</v>
          </cell>
          <cell r="D148">
            <v>-140</v>
          </cell>
          <cell r="E148">
            <v>0</v>
          </cell>
          <cell r="F148">
            <v>-140</v>
          </cell>
          <cell r="G148">
            <v>140</v>
          </cell>
          <cell r="H148">
            <v>0</v>
          </cell>
          <cell r="I148">
            <v>0</v>
          </cell>
          <cell r="J148">
            <v>-140</v>
          </cell>
        </row>
        <row r="149">
          <cell r="A149">
            <v>1324100920</v>
          </cell>
          <cell r="B149" t="str">
            <v>חנוך מבוגרים השכלה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A150">
            <v>1328000810</v>
          </cell>
          <cell r="B150" t="str">
            <v>בית נוער הפעלה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1328000920</v>
          </cell>
          <cell r="B151" t="str">
            <v>מ.חינוך נוער</v>
          </cell>
          <cell r="C151">
            <v>-74140</v>
          </cell>
          <cell r="D151">
            <v>0</v>
          </cell>
          <cell r="E151">
            <v>0</v>
          </cell>
          <cell r="F151">
            <v>0</v>
          </cell>
          <cell r="G151">
            <v>-74140</v>
          </cell>
          <cell r="H151">
            <v>0</v>
          </cell>
          <cell r="I151">
            <v>-89000</v>
          </cell>
          <cell r="J151">
            <v>0</v>
          </cell>
        </row>
        <row r="152">
          <cell r="A152">
            <v>1329000420</v>
          </cell>
          <cell r="B152" t="str">
            <v>פעילות ספורט</v>
          </cell>
          <cell r="C152">
            <v>-11660</v>
          </cell>
          <cell r="D152">
            <v>-15620</v>
          </cell>
          <cell r="E152">
            <v>0</v>
          </cell>
          <cell r="F152">
            <v>-15620</v>
          </cell>
          <cell r="G152">
            <v>3960</v>
          </cell>
          <cell r="H152">
            <v>133.96</v>
          </cell>
          <cell r="I152">
            <v>-14000</v>
          </cell>
          <cell r="J152">
            <v>-15620</v>
          </cell>
        </row>
        <row r="153">
          <cell r="A153">
            <v>1329000920</v>
          </cell>
          <cell r="B153" t="str">
            <v>פעולות ספורט מ.חינוך</v>
          </cell>
          <cell r="C153">
            <v>0</v>
          </cell>
          <cell r="D153">
            <v>-30000</v>
          </cell>
          <cell r="E153">
            <v>0</v>
          </cell>
          <cell r="F153">
            <v>-30000</v>
          </cell>
          <cell r="G153">
            <v>30000</v>
          </cell>
          <cell r="H153">
            <v>0</v>
          </cell>
          <cell r="I153">
            <v>0</v>
          </cell>
          <cell r="J153">
            <v>-30000</v>
          </cell>
        </row>
        <row r="154">
          <cell r="A154">
            <v>1329900710</v>
          </cell>
          <cell r="B154" t="str">
            <v>אולם ספורט מפעל הפיס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1329910710</v>
          </cell>
          <cell r="B155" t="str">
            <v>תרבות וספורט</v>
          </cell>
          <cell r="C155">
            <v>-70810</v>
          </cell>
          <cell r="D155">
            <v>0</v>
          </cell>
          <cell r="E155">
            <v>0</v>
          </cell>
          <cell r="F155">
            <v>0</v>
          </cell>
          <cell r="G155">
            <v>-70810</v>
          </cell>
          <cell r="H155">
            <v>0</v>
          </cell>
          <cell r="I155">
            <v>-85000</v>
          </cell>
          <cell r="J155">
            <v>0</v>
          </cell>
        </row>
        <row r="156">
          <cell r="A156">
            <v>1332300940</v>
          </cell>
          <cell r="B156" t="str">
            <v>מ.הבריאות</v>
          </cell>
          <cell r="C156">
            <v>-84130</v>
          </cell>
          <cell r="D156">
            <v>-48797.5</v>
          </cell>
          <cell r="E156">
            <v>0</v>
          </cell>
          <cell r="F156">
            <v>-48797.5</v>
          </cell>
          <cell r="G156">
            <v>-35332.5</v>
          </cell>
          <cell r="H156">
            <v>58</v>
          </cell>
          <cell r="I156">
            <v>-101000</v>
          </cell>
          <cell r="J156">
            <v>-89175.5</v>
          </cell>
        </row>
        <row r="157">
          <cell r="A157">
            <v>1341000930</v>
          </cell>
          <cell r="B157" t="str">
            <v>שכר עובדי לשכות</v>
          </cell>
          <cell r="C157">
            <v>-803010</v>
          </cell>
          <cell r="D157">
            <v>-797683</v>
          </cell>
          <cell r="E157">
            <v>0</v>
          </cell>
          <cell r="F157">
            <v>-797683</v>
          </cell>
          <cell r="G157">
            <v>-5327</v>
          </cell>
          <cell r="H157">
            <v>99.33</v>
          </cell>
          <cell r="I157">
            <v>-964000</v>
          </cell>
          <cell r="J157">
            <v>-797683</v>
          </cell>
        </row>
        <row r="158">
          <cell r="A158">
            <v>1341100930</v>
          </cell>
          <cell r="B158" t="str">
            <v>הוצ ארגוניות רשויות</v>
          </cell>
          <cell r="C158">
            <v>-3330</v>
          </cell>
          <cell r="D158">
            <v>0</v>
          </cell>
          <cell r="E158">
            <v>0</v>
          </cell>
          <cell r="F158">
            <v>0</v>
          </cell>
          <cell r="G158">
            <v>-3330</v>
          </cell>
          <cell r="H158">
            <v>0</v>
          </cell>
          <cell r="I158">
            <v>-4000</v>
          </cell>
          <cell r="J158">
            <v>0</v>
          </cell>
        </row>
        <row r="159">
          <cell r="A159">
            <v>1341200930</v>
          </cell>
          <cell r="B159" t="str">
            <v>מחשוב מח רווחה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1342200930</v>
          </cell>
          <cell r="B160" t="str">
            <v>משפחות במצוקה במקהלה</v>
          </cell>
          <cell r="C160">
            <v>-65810</v>
          </cell>
          <cell r="D160">
            <v>-139402</v>
          </cell>
          <cell r="E160">
            <v>0</v>
          </cell>
          <cell r="F160">
            <v>-139402</v>
          </cell>
          <cell r="G160">
            <v>73592</v>
          </cell>
          <cell r="H160">
            <v>211.82</v>
          </cell>
          <cell r="I160">
            <v>-79000</v>
          </cell>
          <cell r="J160">
            <v>-139402</v>
          </cell>
        </row>
        <row r="161">
          <cell r="A161">
            <v>1342210220</v>
          </cell>
          <cell r="B161" t="str">
            <v>השת" נשים בקיטנה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1342210930</v>
          </cell>
          <cell r="B162" t="str">
            <v>קיטנות לאמהות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>
            <v>1342220930</v>
          </cell>
          <cell r="B163" t="str">
            <v>סיוע למשפחות עם ילדים</v>
          </cell>
          <cell r="C163">
            <v>-65810</v>
          </cell>
          <cell r="D163">
            <v>-170740</v>
          </cell>
          <cell r="E163">
            <v>0</v>
          </cell>
          <cell r="F163">
            <v>-170740</v>
          </cell>
          <cell r="G163">
            <v>104930</v>
          </cell>
          <cell r="H163">
            <v>259.44</v>
          </cell>
          <cell r="I163">
            <v>-79000</v>
          </cell>
          <cell r="J163">
            <v>-170740</v>
          </cell>
        </row>
        <row r="164">
          <cell r="A164">
            <v>1342221930</v>
          </cell>
          <cell r="B164" t="str">
            <v>בית חם לנערות</v>
          </cell>
          <cell r="C164">
            <v>-158270</v>
          </cell>
          <cell r="D164">
            <v>-183794</v>
          </cell>
          <cell r="E164">
            <v>0</v>
          </cell>
          <cell r="F164">
            <v>-183794</v>
          </cell>
          <cell r="G164">
            <v>25524</v>
          </cell>
          <cell r="H164">
            <v>116.12</v>
          </cell>
          <cell r="I164">
            <v>-190000</v>
          </cell>
          <cell r="J164">
            <v>-183794</v>
          </cell>
        </row>
        <row r="165">
          <cell r="A165">
            <v>1342222930</v>
          </cell>
          <cell r="B165" t="str">
            <v>צרכי משרד רווחה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>
            <v>1342230930</v>
          </cell>
          <cell r="B166" t="str">
            <v>תוכנית עם פנים</v>
          </cell>
          <cell r="C166">
            <v>-119950</v>
          </cell>
          <cell r="D166">
            <v>0</v>
          </cell>
          <cell r="E166">
            <v>0</v>
          </cell>
          <cell r="F166">
            <v>0</v>
          </cell>
          <cell r="G166">
            <v>-119950</v>
          </cell>
          <cell r="H166">
            <v>0</v>
          </cell>
          <cell r="I166">
            <v>-144000</v>
          </cell>
          <cell r="J166">
            <v>0</v>
          </cell>
        </row>
        <row r="167">
          <cell r="A167">
            <v>1342300930</v>
          </cell>
          <cell r="B167" t="str">
            <v>תוכנית עם הפנים לקהילה</v>
          </cell>
          <cell r="C167">
            <v>-161600</v>
          </cell>
          <cell r="D167">
            <v>-152231</v>
          </cell>
          <cell r="E167">
            <v>0</v>
          </cell>
          <cell r="F167">
            <v>-152231</v>
          </cell>
          <cell r="G167">
            <v>-9369</v>
          </cell>
          <cell r="H167">
            <v>94.2</v>
          </cell>
          <cell r="I167">
            <v>-194000</v>
          </cell>
          <cell r="J167">
            <v>-152231</v>
          </cell>
        </row>
        <row r="168">
          <cell r="A168">
            <v>1342500930</v>
          </cell>
          <cell r="B168" t="str">
            <v>סמך מקצועי</v>
          </cell>
          <cell r="C168">
            <v>-22490</v>
          </cell>
          <cell r="D168">
            <v>-16820</v>
          </cell>
          <cell r="E168">
            <v>0</v>
          </cell>
          <cell r="F168">
            <v>-16820</v>
          </cell>
          <cell r="G168">
            <v>-5670</v>
          </cell>
          <cell r="H168">
            <v>74.78</v>
          </cell>
          <cell r="I168">
            <v>-27000</v>
          </cell>
          <cell r="J168">
            <v>-16820</v>
          </cell>
        </row>
        <row r="169">
          <cell r="A169">
            <v>1342600930</v>
          </cell>
          <cell r="B169" t="str">
            <v>תמ"ת  משפחתון</v>
          </cell>
          <cell r="C169">
            <v>-1110390</v>
          </cell>
          <cell r="D169">
            <v>-216894</v>
          </cell>
          <cell r="E169">
            <v>0</v>
          </cell>
          <cell r="F169">
            <v>-216894</v>
          </cell>
          <cell r="G169">
            <v>-893496</v>
          </cell>
          <cell r="H169">
            <v>19.53</v>
          </cell>
          <cell r="I169">
            <v>-1333000</v>
          </cell>
          <cell r="J169">
            <v>-216894</v>
          </cell>
        </row>
        <row r="170">
          <cell r="A170">
            <v>1342650930</v>
          </cell>
          <cell r="B170" t="str">
            <v>פרוייקט וינגייט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A171">
            <v>1343500220</v>
          </cell>
          <cell r="B171" t="str">
            <v>משפחתון השתת" ופעילות</v>
          </cell>
          <cell r="C171">
            <v>-10830</v>
          </cell>
          <cell r="D171">
            <v>0</v>
          </cell>
          <cell r="E171">
            <v>0</v>
          </cell>
          <cell r="F171">
            <v>0</v>
          </cell>
          <cell r="G171">
            <v>-10830</v>
          </cell>
          <cell r="H171">
            <v>0</v>
          </cell>
          <cell r="I171">
            <v>-13000</v>
          </cell>
          <cell r="J171">
            <v>0</v>
          </cell>
        </row>
        <row r="172">
          <cell r="A172">
            <v>1343500930</v>
          </cell>
          <cell r="B172" t="str">
            <v>רכזות משפחתונים</v>
          </cell>
          <cell r="C172">
            <v>-75800</v>
          </cell>
          <cell r="D172">
            <v>-19381</v>
          </cell>
          <cell r="E172">
            <v>0</v>
          </cell>
          <cell r="F172">
            <v>-19381</v>
          </cell>
          <cell r="G172">
            <v>-56419</v>
          </cell>
          <cell r="H172">
            <v>25.56</v>
          </cell>
          <cell r="I172">
            <v>-91000</v>
          </cell>
          <cell r="J172">
            <v>-19381</v>
          </cell>
        </row>
        <row r="173">
          <cell r="A173">
            <v>1343510930</v>
          </cell>
          <cell r="B173" t="str">
            <v>טיפול בילד בקהילה</v>
          </cell>
          <cell r="C173">
            <v>-364020</v>
          </cell>
          <cell r="D173">
            <v>-339199</v>
          </cell>
          <cell r="E173">
            <v>0</v>
          </cell>
          <cell r="F173">
            <v>-339199</v>
          </cell>
          <cell r="G173">
            <v>-24821</v>
          </cell>
          <cell r="H173">
            <v>93.18</v>
          </cell>
          <cell r="I173">
            <v>-437000</v>
          </cell>
          <cell r="J173">
            <v>-339199</v>
          </cell>
        </row>
        <row r="174">
          <cell r="A174">
            <v>1343800930</v>
          </cell>
          <cell r="B174" t="str">
            <v>אחזקת ילדים בפנימיות</v>
          </cell>
          <cell r="C174">
            <v>-188260</v>
          </cell>
          <cell r="D174">
            <v>-596859</v>
          </cell>
          <cell r="E174">
            <v>0</v>
          </cell>
          <cell r="F174">
            <v>-596859</v>
          </cell>
          <cell r="G174">
            <v>408599</v>
          </cell>
          <cell r="H174">
            <v>317.02999999999997</v>
          </cell>
          <cell r="I174">
            <v>-226000</v>
          </cell>
          <cell r="J174">
            <v>-596859</v>
          </cell>
        </row>
        <row r="175">
          <cell r="A175">
            <v>1343900930</v>
          </cell>
          <cell r="B175" t="str">
            <v>אומנה/ילדים במעון</v>
          </cell>
          <cell r="C175">
            <v>-680560</v>
          </cell>
          <cell r="D175">
            <v>-204080</v>
          </cell>
          <cell r="E175">
            <v>0</v>
          </cell>
          <cell r="F175">
            <v>-204080</v>
          </cell>
          <cell r="G175">
            <v>-476480</v>
          </cell>
          <cell r="H175">
            <v>29.98</v>
          </cell>
          <cell r="I175">
            <v>-817000</v>
          </cell>
          <cell r="J175">
            <v>-204080</v>
          </cell>
        </row>
        <row r="176">
          <cell r="A176">
            <v>1344000220</v>
          </cell>
          <cell r="B176" t="str">
            <v>השתת פעילות בית זקנים</v>
          </cell>
          <cell r="C176">
            <v>-7500</v>
          </cell>
          <cell r="D176">
            <v>-3600</v>
          </cell>
          <cell r="E176">
            <v>0</v>
          </cell>
          <cell r="F176">
            <v>-3600</v>
          </cell>
          <cell r="G176">
            <v>-3900</v>
          </cell>
          <cell r="H176">
            <v>48</v>
          </cell>
          <cell r="I176">
            <v>-9000</v>
          </cell>
          <cell r="J176">
            <v>-3600</v>
          </cell>
        </row>
        <row r="177">
          <cell r="A177">
            <v>1344400930</v>
          </cell>
          <cell r="B177" t="str">
            <v>הבראה לזקן</v>
          </cell>
          <cell r="C177">
            <v>-177430</v>
          </cell>
          <cell r="D177">
            <v>-376980</v>
          </cell>
          <cell r="E177">
            <v>0</v>
          </cell>
          <cell r="F177">
            <v>-376980</v>
          </cell>
          <cell r="G177">
            <v>199550</v>
          </cell>
          <cell r="H177">
            <v>212.46</v>
          </cell>
          <cell r="I177">
            <v>-213000</v>
          </cell>
          <cell r="J177">
            <v>-376980</v>
          </cell>
        </row>
        <row r="178">
          <cell r="A178">
            <v>1344410930</v>
          </cell>
          <cell r="B178" t="str">
            <v>צרכים מיוחדים לזקן</v>
          </cell>
          <cell r="C178">
            <v>0</v>
          </cell>
          <cell r="D178">
            <v>-107319</v>
          </cell>
          <cell r="E178">
            <v>0</v>
          </cell>
          <cell r="F178">
            <v>-107319</v>
          </cell>
          <cell r="G178">
            <v>107319</v>
          </cell>
          <cell r="H178">
            <v>0</v>
          </cell>
          <cell r="I178">
            <v>0</v>
          </cell>
          <cell r="J178">
            <v>-107319</v>
          </cell>
        </row>
        <row r="179">
          <cell r="A179">
            <v>1345100930</v>
          </cell>
          <cell r="B179" t="str">
            <v>סדור מפגרים במוסדות</v>
          </cell>
          <cell r="C179">
            <v>-358190</v>
          </cell>
          <cell r="D179">
            <v>-93382</v>
          </cell>
          <cell r="E179">
            <v>0</v>
          </cell>
          <cell r="F179">
            <v>-93382</v>
          </cell>
          <cell r="G179">
            <v>-264808</v>
          </cell>
          <cell r="H179">
            <v>26.07</v>
          </cell>
          <cell r="I179">
            <v>-430000</v>
          </cell>
          <cell r="J179">
            <v>-93382</v>
          </cell>
        </row>
        <row r="180">
          <cell r="A180">
            <v>1345200930</v>
          </cell>
          <cell r="B180" t="str">
            <v>מפגרים במעון אמוני+מעשי"ם</v>
          </cell>
          <cell r="C180">
            <v>-471480</v>
          </cell>
          <cell r="D180">
            <v>-359159</v>
          </cell>
          <cell r="E180">
            <v>0</v>
          </cell>
          <cell r="F180">
            <v>-359159</v>
          </cell>
          <cell r="G180">
            <v>-112321</v>
          </cell>
          <cell r="H180">
            <v>76.17</v>
          </cell>
          <cell r="I180">
            <v>-566000</v>
          </cell>
          <cell r="J180">
            <v>-359159</v>
          </cell>
        </row>
        <row r="181">
          <cell r="A181">
            <v>1345300930</v>
          </cell>
          <cell r="B181" t="str">
            <v>שרותים תומכים למפגר</v>
          </cell>
          <cell r="C181">
            <v>0</v>
          </cell>
          <cell r="D181">
            <v>-22341</v>
          </cell>
          <cell r="E181">
            <v>0</v>
          </cell>
          <cell r="F181">
            <v>-22341</v>
          </cell>
          <cell r="G181">
            <v>22341</v>
          </cell>
          <cell r="H181">
            <v>0</v>
          </cell>
          <cell r="I181">
            <v>0</v>
          </cell>
          <cell r="J181">
            <v>-22341</v>
          </cell>
        </row>
        <row r="182">
          <cell r="A182">
            <v>1345350930</v>
          </cell>
          <cell r="B182" t="str">
            <v>שיקום נכים בקהילה</v>
          </cell>
          <cell r="C182">
            <v>-15830</v>
          </cell>
          <cell r="D182">
            <v>-60322</v>
          </cell>
          <cell r="E182">
            <v>0</v>
          </cell>
          <cell r="F182">
            <v>-60322</v>
          </cell>
          <cell r="G182">
            <v>44492</v>
          </cell>
          <cell r="H182">
            <v>381.06</v>
          </cell>
          <cell r="I182">
            <v>-19000</v>
          </cell>
          <cell r="J182">
            <v>-60322</v>
          </cell>
        </row>
        <row r="183">
          <cell r="A183">
            <v>1345400930</v>
          </cell>
          <cell r="B183" t="str">
            <v>הסעות וליווי מ.יום למפגר</v>
          </cell>
          <cell r="C183">
            <v>-418170</v>
          </cell>
          <cell r="D183">
            <v>-340429</v>
          </cell>
          <cell r="E183">
            <v>0</v>
          </cell>
          <cell r="F183">
            <v>-340429</v>
          </cell>
          <cell r="G183">
            <v>-77741</v>
          </cell>
          <cell r="H183">
            <v>81.400000000000006</v>
          </cell>
          <cell r="I183">
            <v>-502000</v>
          </cell>
          <cell r="J183">
            <v>-340429</v>
          </cell>
        </row>
        <row r="184">
          <cell r="A184">
            <v>1346400930</v>
          </cell>
          <cell r="B184" t="str">
            <v>מפעלי תעסוקה</v>
          </cell>
          <cell r="C184">
            <v>-8330</v>
          </cell>
          <cell r="D184">
            <v>-8788</v>
          </cell>
          <cell r="E184">
            <v>0</v>
          </cell>
          <cell r="F184">
            <v>-8788</v>
          </cell>
          <cell r="G184">
            <v>458</v>
          </cell>
          <cell r="H184">
            <v>105.49</v>
          </cell>
          <cell r="I184">
            <v>-10000</v>
          </cell>
          <cell r="J184">
            <v>-8788</v>
          </cell>
        </row>
        <row r="185">
          <cell r="A185">
            <v>1346410930</v>
          </cell>
          <cell r="B185" t="str">
            <v>דמי תקשורת חרשים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1346610930</v>
          </cell>
          <cell r="B186" t="str">
            <v>מעדוניות משותפות</v>
          </cell>
          <cell r="C186">
            <v>-68310</v>
          </cell>
          <cell r="D186">
            <v>-69410</v>
          </cell>
          <cell r="E186">
            <v>0</v>
          </cell>
          <cell r="F186">
            <v>-69410</v>
          </cell>
          <cell r="G186">
            <v>1100</v>
          </cell>
          <cell r="H186">
            <v>101.61</v>
          </cell>
          <cell r="I186">
            <v>-82000</v>
          </cell>
          <cell r="J186">
            <v>-69410</v>
          </cell>
        </row>
        <row r="187">
          <cell r="A187">
            <v>1346700930</v>
          </cell>
          <cell r="B187" t="str">
            <v>נושמים לרווחה</v>
          </cell>
          <cell r="C187">
            <v>-33320</v>
          </cell>
          <cell r="D187">
            <v>-47932</v>
          </cell>
          <cell r="E187">
            <v>0</v>
          </cell>
          <cell r="F187">
            <v>-47932</v>
          </cell>
          <cell r="G187">
            <v>14612</v>
          </cell>
          <cell r="H187">
            <v>143.85</v>
          </cell>
          <cell r="I187">
            <v>-40000</v>
          </cell>
          <cell r="J187">
            <v>-47932</v>
          </cell>
        </row>
        <row r="188">
          <cell r="A188">
            <v>1346800930</v>
          </cell>
          <cell r="B188" t="str">
            <v>מפעלי שיקום</v>
          </cell>
          <cell r="C188">
            <v>-139110</v>
          </cell>
          <cell r="D188">
            <v>-126986</v>
          </cell>
          <cell r="E188">
            <v>0</v>
          </cell>
          <cell r="F188">
            <v>-126986</v>
          </cell>
          <cell r="G188">
            <v>-12124</v>
          </cell>
          <cell r="H188">
            <v>91.28</v>
          </cell>
          <cell r="I188">
            <v>-167000</v>
          </cell>
          <cell r="J188">
            <v>-126986</v>
          </cell>
        </row>
        <row r="189">
          <cell r="A189">
            <v>1347100930</v>
          </cell>
          <cell r="B189" t="str">
            <v>מעלים לנוער</v>
          </cell>
          <cell r="C189">
            <v>-3330</v>
          </cell>
          <cell r="D189">
            <v>-47178</v>
          </cell>
          <cell r="E189">
            <v>0</v>
          </cell>
          <cell r="F189">
            <v>-47178</v>
          </cell>
          <cell r="G189">
            <v>43848</v>
          </cell>
          <cell r="H189">
            <v>1416.75</v>
          </cell>
          <cell r="I189">
            <v>-4000</v>
          </cell>
          <cell r="J189">
            <v>-47178</v>
          </cell>
        </row>
        <row r="190">
          <cell r="A190">
            <v>1347200930</v>
          </cell>
          <cell r="B190" t="str">
            <v>מלב"ם ויזמות ברווחה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1347300990</v>
          </cell>
          <cell r="B191" t="str">
            <v>רשות מלחמה בסמים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>
            <v>1353000990</v>
          </cell>
          <cell r="B192" t="str">
            <v>שרותי דת מסלומים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>
            <v>1380000900</v>
          </cell>
          <cell r="B193" t="str">
            <v>משרד לבטחון פנים- שמירת בתי"ס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>
            <v>1381000900</v>
          </cell>
          <cell r="B194" t="str">
            <v>משרד לבטחון פנים עיר ללא אלימו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>
            <v>1413100410</v>
          </cell>
          <cell r="B195" t="str">
            <v>אגרת מים-צריכה</v>
          </cell>
          <cell r="C195">
            <v>-1843430</v>
          </cell>
          <cell r="D195">
            <v>-1547032.42</v>
          </cell>
          <cell r="E195">
            <v>0</v>
          </cell>
          <cell r="F195">
            <v>-1547032.42</v>
          </cell>
          <cell r="G195">
            <v>-296397.58</v>
          </cell>
          <cell r="H195">
            <v>83.92</v>
          </cell>
          <cell r="I195">
            <v>-2213000</v>
          </cell>
          <cell r="J195">
            <v>-1547032.42</v>
          </cell>
        </row>
        <row r="196">
          <cell r="A196">
            <v>1413110410</v>
          </cell>
          <cell r="B196" t="str">
            <v>צריכת מים פיגורים</v>
          </cell>
          <cell r="C196">
            <v>-1170370</v>
          </cell>
          <cell r="D196">
            <v>-113661.28</v>
          </cell>
          <cell r="E196">
            <v>0</v>
          </cell>
          <cell r="F196">
            <v>-113661.28</v>
          </cell>
          <cell r="G196">
            <v>-1056708.72</v>
          </cell>
          <cell r="H196">
            <v>9.7100000000000009</v>
          </cell>
          <cell r="I196">
            <v>-1405000</v>
          </cell>
          <cell r="J196">
            <v>-113661.28</v>
          </cell>
        </row>
        <row r="197">
          <cell r="A197">
            <v>1413111410</v>
          </cell>
          <cell r="B197" t="str">
            <v>מים פיגורים 2008</v>
          </cell>
          <cell r="C197">
            <v>-48310</v>
          </cell>
          <cell r="D197">
            <v>-665.12</v>
          </cell>
          <cell r="E197">
            <v>0</v>
          </cell>
          <cell r="F197">
            <v>-665.12</v>
          </cell>
          <cell r="G197">
            <v>-47644.88</v>
          </cell>
          <cell r="H197">
            <v>1.37</v>
          </cell>
          <cell r="I197">
            <v>-58000</v>
          </cell>
          <cell r="J197">
            <v>-665.12</v>
          </cell>
        </row>
        <row r="198">
          <cell r="A198">
            <v>1413112410</v>
          </cell>
          <cell r="B198" t="str">
            <v>מים פיגורים 2009</v>
          </cell>
          <cell r="C198">
            <v>-39980</v>
          </cell>
          <cell r="D198">
            <v>-87841.23</v>
          </cell>
          <cell r="E198">
            <v>0</v>
          </cell>
          <cell r="F198">
            <v>-87841.23</v>
          </cell>
          <cell r="G198">
            <v>47861.23</v>
          </cell>
          <cell r="H198">
            <v>219.71</v>
          </cell>
          <cell r="I198">
            <v>-48000</v>
          </cell>
          <cell r="J198">
            <v>-87841.23</v>
          </cell>
        </row>
        <row r="199">
          <cell r="A199">
            <v>1413113410</v>
          </cell>
          <cell r="B199" t="str">
            <v>מים פיגורים 2010</v>
          </cell>
          <cell r="C199">
            <v>-64970</v>
          </cell>
          <cell r="D199">
            <v>-19774.060000000001</v>
          </cell>
          <cell r="E199">
            <v>0</v>
          </cell>
          <cell r="F199">
            <v>-19774.060000000001</v>
          </cell>
          <cell r="G199">
            <v>-45195.94</v>
          </cell>
          <cell r="H199">
            <v>30.43</v>
          </cell>
          <cell r="I199">
            <v>-78000</v>
          </cell>
          <cell r="J199">
            <v>-19774.060000000001</v>
          </cell>
        </row>
        <row r="200">
          <cell r="A200">
            <v>1413114410</v>
          </cell>
          <cell r="B200" t="str">
            <v>מים פיגורים 2011</v>
          </cell>
          <cell r="C200">
            <v>-75800</v>
          </cell>
          <cell r="D200">
            <v>-15209.26</v>
          </cell>
          <cell r="E200">
            <v>0</v>
          </cell>
          <cell r="F200">
            <v>-15209.26</v>
          </cell>
          <cell r="G200">
            <v>-60590.74</v>
          </cell>
          <cell r="H200">
            <v>20.059999999999999</v>
          </cell>
          <cell r="I200">
            <v>-91000</v>
          </cell>
          <cell r="J200">
            <v>-15209.26</v>
          </cell>
        </row>
        <row r="201">
          <cell r="A201">
            <v>1413115410</v>
          </cell>
          <cell r="B201" t="str">
            <v>מים פיגורים 2012</v>
          </cell>
          <cell r="C201">
            <v>-61640</v>
          </cell>
          <cell r="D201">
            <v>-20213.150000000001</v>
          </cell>
          <cell r="E201">
            <v>0</v>
          </cell>
          <cell r="F201">
            <v>-20213.150000000001</v>
          </cell>
          <cell r="G201">
            <v>-41426.85</v>
          </cell>
          <cell r="H201">
            <v>32.79</v>
          </cell>
          <cell r="I201">
            <v>-74000</v>
          </cell>
          <cell r="J201">
            <v>-20213.150000000001</v>
          </cell>
        </row>
        <row r="202">
          <cell r="A202">
            <v>1413116410</v>
          </cell>
          <cell r="B202" t="str">
            <v>מים פיגורים 2013</v>
          </cell>
          <cell r="C202">
            <v>-106620</v>
          </cell>
          <cell r="D202">
            <v>-26086.76</v>
          </cell>
          <cell r="E202">
            <v>0</v>
          </cell>
          <cell r="F202">
            <v>-26086.76</v>
          </cell>
          <cell r="G202">
            <v>-80533.240000000005</v>
          </cell>
          <cell r="H202">
            <v>24.46</v>
          </cell>
          <cell r="I202">
            <v>-128000</v>
          </cell>
          <cell r="J202">
            <v>-26086.76</v>
          </cell>
        </row>
        <row r="203">
          <cell r="A203">
            <v>1413117410</v>
          </cell>
          <cell r="B203" t="str">
            <v>מים פיגורים 2014</v>
          </cell>
          <cell r="C203">
            <v>-300710</v>
          </cell>
          <cell r="D203">
            <v>-72558.63</v>
          </cell>
          <cell r="E203">
            <v>0</v>
          </cell>
          <cell r="F203">
            <v>-72558.63</v>
          </cell>
          <cell r="G203">
            <v>-228151.37</v>
          </cell>
          <cell r="H203">
            <v>24.12</v>
          </cell>
          <cell r="I203">
            <v>-361000</v>
          </cell>
          <cell r="J203">
            <v>-72558.63</v>
          </cell>
        </row>
        <row r="204">
          <cell r="A204">
            <v>1413118410</v>
          </cell>
          <cell r="B204" t="str">
            <v>מים פיגורים 2015</v>
          </cell>
          <cell r="C204">
            <v>0</v>
          </cell>
          <cell r="D204">
            <v>-104149.54</v>
          </cell>
          <cell r="E204">
            <v>0</v>
          </cell>
          <cell r="F204">
            <v>-104149.54</v>
          </cell>
          <cell r="G204">
            <v>104149.54</v>
          </cell>
          <cell r="H204">
            <v>0</v>
          </cell>
          <cell r="I204">
            <v>0</v>
          </cell>
          <cell r="J204">
            <v>-104149.54</v>
          </cell>
        </row>
        <row r="205">
          <cell r="A205">
            <v>1413119410</v>
          </cell>
          <cell r="B205" t="str">
            <v>מים פיגורים 2016</v>
          </cell>
          <cell r="C205">
            <v>0</v>
          </cell>
          <cell r="D205">
            <v>-651781.72</v>
          </cell>
          <cell r="E205">
            <v>0</v>
          </cell>
          <cell r="F205">
            <v>-651781.72</v>
          </cell>
          <cell r="G205">
            <v>651781.72</v>
          </cell>
          <cell r="H205">
            <v>0</v>
          </cell>
          <cell r="I205">
            <v>0</v>
          </cell>
          <cell r="J205">
            <v>-651781.72</v>
          </cell>
        </row>
        <row r="206">
          <cell r="A206">
            <v>1413120410</v>
          </cell>
          <cell r="B206" t="str">
            <v>היטל צריכה</v>
          </cell>
          <cell r="C206">
            <v>-4170</v>
          </cell>
          <cell r="D206">
            <v>-2471.52</v>
          </cell>
          <cell r="E206">
            <v>0</v>
          </cell>
          <cell r="F206">
            <v>-2471.52</v>
          </cell>
          <cell r="G206">
            <v>-1698.48</v>
          </cell>
          <cell r="H206">
            <v>59.26</v>
          </cell>
          <cell r="I206">
            <v>-5000</v>
          </cell>
          <cell r="J206">
            <v>-2471.52</v>
          </cell>
        </row>
        <row r="207">
          <cell r="A207">
            <v>1413130410</v>
          </cell>
          <cell r="B207" t="str">
            <v>החזר מים מקורות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1413200410</v>
          </cell>
          <cell r="B208" t="str">
            <v>מוני מים</v>
          </cell>
          <cell r="C208">
            <v>-12500</v>
          </cell>
          <cell r="D208">
            <v>-6428.77</v>
          </cell>
          <cell r="E208">
            <v>0</v>
          </cell>
          <cell r="F208">
            <v>-6428.77</v>
          </cell>
          <cell r="G208">
            <v>-6071.23</v>
          </cell>
          <cell r="H208">
            <v>51.43</v>
          </cell>
          <cell r="I208">
            <v>-15000</v>
          </cell>
          <cell r="J208">
            <v>-6428.77</v>
          </cell>
        </row>
        <row r="209">
          <cell r="A209">
            <v>1413300210</v>
          </cell>
          <cell r="B209" t="str">
            <v>מדי מים גבעה</v>
          </cell>
          <cell r="C209">
            <v>-10000</v>
          </cell>
          <cell r="D209">
            <v>-84401.12</v>
          </cell>
          <cell r="E209">
            <v>0</v>
          </cell>
          <cell r="F209">
            <v>-84401.12</v>
          </cell>
          <cell r="G209">
            <v>74401.119999999995</v>
          </cell>
          <cell r="H209">
            <v>844.01</v>
          </cell>
          <cell r="I209">
            <v>-12000</v>
          </cell>
          <cell r="J209">
            <v>-84401.12</v>
          </cell>
        </row>
        <row r="210">
          <cell r="A210">
            <v>1513000510</v>
          </cell>
          <cell r="B210" t="str">
            <v>החזר הוצ" שנים קודמות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1550000591</v>
          </cell>
          <cell r="B211" t="str">
            <v>הכנסות בלתי רגלים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1552000910</v>
          </cell>
          <cell r="B212" t="str">
            <v>מענק לכיסוי גרעון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1611000310</v>
          </cell>
          <cell r="B213" t="str">
            <v>פנסיה נבחרים</v>
          </cell>
          <cell r="C213">
            <v>0</v>
          </cell>
          <cell r="D213">
            <v>187473.55</v>
          </cell>
          <cell r="E213">
            <v>0</v>
          </cell>
          <cell r="F213">
            <v>187473.55</v>
          </cell>
          <cell r="G213">
            <v>-187473.55</v>
          </cell>
          <cell r="H213">
            <v>0</v>
          </cell>
          <cell r="I213">
            <v>0</v>
          </cell>
          <cell r="J213">
            <v>187473.55</v>
          </cell>
        </row>
        <row r="214">
          <cell r="A214">
            <v>1611100110</v>
          </cell>
          <cell r="B214" t="str">
            <v>משכורת</v>
          </cell>
          <cell r="C214">
            <v>976280</v>
          </cell>
          <cell r="D214">
            <v>1020928.08</v>
          </cell>
          <cell r="E214">
            <v>0</v>
          </cell>
          <cell r="F214">
            <v>1020928.08</v>
          </cell>
          <cell r="G214">
            <v>-44648.08</v>
          </cell>
          <cell r="H214">
            <v>104.57</v>
          </cell>
          <cell r="I214">
            <v>1172000</v>
          </cell>
          <cell r="J214">
            <v>1020928.08</v>
          </cell>
        </row>
        <row r="215">
          <cell r="A215">
            <v>1611100310</v>
          </cell>
          <cell r="B215" t="str">
            <v>משכורת</v>
          </cell>
          <cell r="C215">
            <v>624750</v>
          </cell>
          <cell r="D215">
            <v>312465.09999999998</v>
          </cell>
          <cell r="E215">
            <v>0</v>
          </cell>
          <cell r="F215">
            <v>312465.09999999998</v>
          </cell>
          <cell r="G215">
            <v>312284.90000000002</v>
          </cell>
          <cell r="H215">
            <v>50.01</v>
          </cell>
          <cell r="I215">
            <v>750000</v>
          </cell>
          <cell r="J215">
            <v>312465.09999999998</v>
          </cell>
        </row>
        <row r="216">
          <cell r="A216">
            <v>1611100440</v>
          </cell>
          <cell r="B216" t="str">
            <v>ביטוחים</v>
          </cell>
          <cell r="C216">
            <v>15830</v>
          </cell>
          <cell r="D216">
            <v>0</v>
          </cell>
          <cell r="E216">
            <v>0</v>
          </cell>
          <cell r="F216">
            <v>0</v>
          </cell>
          <cell r="G216">
            <v>15830</v>
          </cell>
          <cell r="H216">
            <v>0</v>
          </cell>
          <cell r="I216">
            <v>19000</v>
          </cell>
          <cell r="J216">
            <v>0</v>
          </cell>
        </row>
        <row r="217">
          <cell r="A217">
            <v>1611100510</v>
          </cell>
          <cell r="B217" t="str">
            <v>כיבודים ואירוח</v>
          </cell>
          <cell r="C217">
            <v>3330</v>
          </cell>
          <cell r="D217">
            <v>0</v>
          </cell>
          <cell r="E217">
            <v>0</v>
          </cell>
          <cell r="F217">
            <v>0</v>
          </cell>
          <cell r="G217">
            <v>3330</v>
          </cell>
          <cell r="H217">
            <v>0</v>
          </cell>
          <cell r="I217">
            <v>4000</v>
          </cell>
          <cell r="J217">
            <v>0</v>
          </cell>
        </row>
        <row r="218">
          <cell r="A218">
            <v>1611100514</v>
          </cell>
          <cell r="B218" t="str">
            <v>החזר מתנות</v>
          </cell>
          <cell r="C218">
            <v>13330</v>
          </cell>
          <cell r="D218">
            <v>0</v>
          </cell>
          <cell r="E218">
            <v>0</v>
          </cell>
          <cell r="F218">
            <v>0</v>
          </cell>
          <cell r="G218">
            <v>13330</v>
          </cell>
          <cell r="H218">
            <v>0</v>
          </cell>
          <cell r="I218">
            <v>16000</v>
          </cell>
          <cell r="J218">
            <v>0</v>
          </cell>
        </row>
        <row r="219">
          <cell r="A219">
            <v>1611100521</v>
          </cell>
          <cell r="B219" t="str">
            <v>השתלמויות</v>
          </cell>
          <cell r="C219">
            <v>0</v>
          </cell>
          <cell r="D219">
            <v>2000</v>
          </cell>
          <cell r="E219">
            <v>0</v>
          </cell>
          <cell r="F219">
            <v>2000</v>
          </cell>
          <cell r="G219">
            <v>-2000</v>
          </cell>
          <cell r="H219">
            <v>0</v>
          </cell>
          <cell r="I219">
            <v>0</v>
          </cell>
          <cell r="J219">
            <v>2000</v>
          </cell>
        </row>
        <row r="220">
          <cell r="A220">
            <v>1611100525</v>
          </cell>
          <cell r="B220" t="str">
            <v>אבטחת יו"ר מאויים6</v>
          </cell>
          <cell r="C220">
            <v>0</v>
          </cell>
          <cell r="D220">
            <v>97670</v>
          </cell>
          <cell r="E220">
            <v>0</v>
          </cell>
          <cell r="F220">
            <v>97670</v>
          </cell>
          <cell r="G220">
            <v>-97670</v>
          </cell>
          <cell r="H220">
            <v>0</v>
          </cell>
          <cell r="I220">
            <v>0</v>
          </cell>
          <cell r="J220">
            <v>97670</v>
          </cell>
        </row>
        <row r="221">
          <cell r="A221">
            <v>1611100531</v>
          </cell>
          <cell r="B221" t="str">
            <v>רכב</v>
          </cell>
          <cell r="C221">
            <v>0</v>
          </cell>
          <cell r="D221">
            <v>42395</v>
          </cell>
          <cell r="E221">
            <v>0</v>
          </cell>
          <cell r="F221">
            <v>42395</v>
          </cell>
          <cell r="G221">
            <v>-42395</v>
          </cell>
          <cell r="H221">
            <v>0</v>
          </cell>
          <cell r="I221">
            <v>0</v>
          </cell>
          <cell r="J221">
            <v>42395</v>
          </cell>
        </row>
        <row r="222">
          <cell r="A222">
            <v>1611100540</v>
          </cell>
          <cell r="B222" t="str">
            <v>טלפונים הוצ</v>
          </cell>
          <cell r="C222">
            <v>10000</v>
          </cell>
          <cell r="D222">
            <v>36994.410000000003</v>
          </cell>
          <cell r="E222">
            <v>0</v>
          </cell>
          <cell r="F222">
            <v>36994.410000000003</v>
          </cell>
          <cell r="G222">
            <v>-26994.41</v>
          </cell>
          <cell r="H222">
            <v>369.94</v>
          </cell>
          <cell r="I222">
            <v>12000</v>
          </cell>
          <cell r="J222">
            <v>36994.410000000003</v>
          </cell>
        </row>
        <row r="223">
          <cell r="A223">
            <v>1611100550</v>
          </cell>
          <cell r="B223" t="str">
            <v>מחשוב לשכת ראש מועצה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1611100810</v>
          </cell>
          <cell r="B224" t="str">
            <v>ועד ארצי לראשי רשיות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1611100910</v>
          </cell>
          <cell r="B225" t="str">
            <v>השתתפות בתב"ר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1611120110</v>
          </cell>
          <cell r="B226" t="str">
            <v>יועץ לראש המועצה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1611130110</v>
          </cell>
          <cell r="B227" t="str">
            <v>נהג ליו"ר ופקיד שליחיות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28">
          <cell r="A228">
            <v>1611200110</v>
          </cell>
          <cell r="B228" t="str">
            <v>משכורת שרתים מועצה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1612000310</v>
          </cell>
          <cell r="B229" t="str">
            <v>פנסיונרים</v>
          </cell>
          <cell r="C229">
            <v>573100</v>
          </cell>
          <cell r="D229">
            <v>689831.22</v>
          </cell>
          <cell r="E229">
            <v>0</v>
          </cell>
          <cell r="F229">
            <v>689831.22</v>
          </cell>
          <cell r="G229">
            <v>-116731.22</v>
          </cell>
          <cell r="H229">
            <v>120.36</v>
          </cell>
          <cell r="I229">
            <v>688000</v>
          </cell>
          <cell r="J229">
            <v>689831.22</v>
          </cell>
        </row>
        <row r="230">
          <cell r="A230">
            <v>1612000521</v>
          </cell>
          <cell r="B230" t="str">
            <v>השתלמות פנסיונרים</v>
          </cell>
          <cell r="C230">
            <v>7500</v>
          </cell>
          <cell r="D230">
            <v>0</v>
          </cell>
          <cell r="E230">
            <v>0</v>
          </cell>
          <cell r="F230">
            <v>0</v>
          </cell>
          <cell r="G230">
            <v>7500</v>
          </cell>
          <cell r="H230">
            <v>0</v>
          </cell>
          <cell r="I230">
            <v>9000</v>
          </cell>
          <cell r="J230">
            <v>0</v>
          </cell>
        </row>
        <row r="231">
          <cell r="A231">
            <v>1612100110</v>
          </cell>
          <cell r="B231" t="str">
            <v>מבקר פנים</v>
          </cell>
          <cell r="C231">
            <v>205750</v>
          </cell>
          <cell r="D231">
            <v>163358.16</v>
          </cell>
          <cell r="E231">
            <v>0</v>
          </cell>
          <cell r="F231">
            <v>163358.16</v>
          </cell>
          <cell r="G231">
            <v>42391.839999999997</v>
          </cell>
          <cell r="H231">
            <v>79.39</v>
          </cell>
          <cell r="I231">
            <v>247000</v>
          </cell>
          <cell r="J231">
            <v>163358.16</v>
          </cell>
        </row>
        <row r="232">
          <cell r="A232">
            <v>1612200110</v>
          </cell>
          <cell r="B232" t="str">
            <v>יועץ משפטי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>
            <v>1613000110</v>
          </cell>
          <cell r="B233" t="str">
            <v>שכר מזכיר המועצה</v>
          </cell>
          <cell r="C233">
            <v>332370</v>
          </cell>
          <cell r="D233">
            <v>242681.2</v>
          </cell>
          <cell r="E233">
            <v>0</v>
          </cell>
          <cell r="F233">
            <v>242681.2</v>
          </cell>
          <cell r="G233">
            <v>89688.8</v>
          </cell>
          <cell r="H233">
            <v>73.010000000000005</v>
          </cell>
          <cell r="I233">
            <v>399000</v>
          </cell>
          <cell r="J233">
            <v>242681.2</v>
          </cell>
        </row>
        <row r="234">
          <cell r="A234">
            <v>1613000400</v>
          </cell>
          <cell r="B234" t="str">
            <v>אחזקת בנינים</v>
          </cell>
          <cell r="C234">
            <v>5000</v>
          </cell>
          <cell r="D234">
            <v>12098.63</v>
          </cell>
          <cell r="E234">
            <v>0</v>
          </cell>
          <cell r="F234">
            <v>12098.63</v>
          </cell>
          <cell r="G234">
            <v>-7098.63</v>
          </cell>
          <cell r="H234">
            <v>241.97</v>
          </cell>
          <cell r="I234">
            <v>6000</v>
          </cell>
          <cell r="J234">
            <v>18710.63</v>
          </cell>
        </row>
        <row r="235">
          <cell r="A235">
            <v>1613000431</v>
          </cell>
          <cell r="B235" t="str">
            <v>חשמל למועצה</v>
          </cell>
          <cell r="C235">
            <v>14990</v>
          </cell>
          <cell r="D235">
            <v>8210.44</v>
          </cell>
          <cell r="E235">
            <v>0</v>
          </cell>
          <cell r="F235">
            <v>8210.44</v>
          </cell>
          <cell r="G235">
            <v>6779.56</v>
          </cell>
          <cell r="H235">
            <v>54.77</v>
          </cell>
          <cell r="I235">
            <v>18000</v>
          </cell>
          <cell r="J235">
            <v>18051.75</v>
          </cell>
        </row>
        <row r="236">
          <cell r="A236">
            <v>1613000432</v>
          </cell>
          <cell r="B236" t="str">
            <v>מים למועצה</v>
          </cell>
          <cell r="C236">
            <v>14990</v>
          </cell>
          <cell r="D236">
            <v>0</v>
          </cell>
          <cell r="E236">
            <v>0</v>
          </cell>
          <cell r="F236">
            <v>0</v>
          </cell>
          <cell r="G236">
            <v>14990</v>
          </cell>
          <cell r="H236">
            <v>0</v>
          </cell>
          <cell r="I236">
            <v>18000</v>
          </cell>
          <cell r="J236">
            <v>0</v>
          </cell>
        </row>
        <row r="237">
          <cell r="A237">
            <v>1613000433</v>
          </cell>
          <cell r="B237" t="str">
            <v>חומרי ניקוי וציוד</v>
          </cell>
          <cell r="C237">
            <v>6660</v>
          </cell>
          <cell r="D237">
            <v>11901</v>
          </cell>
          <cell r="E237">
            <v>0</v>
          </cell>
          <cell r="F237">
            <v>11901</v>
          </cell>
          <cell r="G237">
            <v>-5241</v>
          </cell>
          <cell r="H237">
            <v>178.69</v>
          </cell>
          <cell r="I237">
            <v>8000</v>
          </cell>
          <cell r="J237">
            <v>11901</v>
          </cell>
        </row>
        <row r="238">
          <cell r="A238">
            <v>1613000440</v>
          </cell>
          <cell r="B238" t="str">
            <v>ביטוחים</v>
          </cell>
          <cell r="C238">
            <v>160770</v>
          </cell>
          <cell r="D238">
            <v>409000</v>
          </cell>
          <cell r="E238">
            <v>0</v>
          </cell>
          <cell r="F238">
            <v>409000</v>
          </cell>
          <cell r="G238">
            <v>-248230</v>
          </cell>
          <cell r="H238">
            <v>254.4</v>
          </cell>
          <cell r="I238">
            <v>193000</v>
          </cell>
          <cell r="J238">
            <v>409000</v>
          </cell>
        </row>
        <row r="239">
          <cell r="A239">
            <v>1613000450</v>
          </cell>
          <cell r="B239" t="str">
            <v>רהוט והחזקתו</v>
          </cell>
          <cell r="C239">
            <v>0</v>
          </cell>
          <cell r="D239">
            <v>15584.4</v>
          </cell>
          <cell r="E239">
            <v>0</v>
          </cell>
          <cell r="F239">
            <v>15584.4</v>
          </cell>
          <cell r="G239">
            <v>-15584.4</v>
          </cell>
          <cell r="H239">
            <v>0</v>
          </cell>
          <cell r="I239">
            <v>0</v>
          </cell>
          <cell r="J239">
            <v>15584.4</v>
          </cell>
        </row>
        <row r="240">
          <cell r="A240">
            <v>1613000460</v>
          </cell>
          <cell r="B240" t="str">
            <v>מכשירי כתיבה והדפס</v>
          </cell>
          <cell r="C240">
            <v>14160</v>
          </cell>
          <cell r="D240">
            <v>19468.8</v>
          </cell>
          <cell r="E240">
            <v>6483.2</v>
          </cell>
          <cell r="F240">
            <v>25952</v>
          </cell>
          <cell r="G240">
            <v>-11792</v>
          </cell>
          <cell r="H240">
            <v>183.27</v>
          </cell>
          <cell r="I240">
            <v>17000</v>
          </cell>
          <cell r="J240">
            <v>19468.8</v>
          </cell>
        </row>
        <row r="241">
          <cell r="A241">
            <v>1613000470</v>
          </cell>
          <cell r="B241" t="str">
            <v>מכונות משרד והחזקת</v>
          </cell>
          <cell r="C241">
            <v>10000</v>
          </cell>
          <cell r="D241">
            <v>9765.39</v>
          </cell>
          <cell r="E241">
            <v>2000</v>
          </cell>
          <cell r="F241">
            <v>11765.39</v>
          </cell>
          <cell r="G241">
            <v>-1765.39</v>
          </cell>
          <cell r="H241">
            <v>117.65</v>
          </cell>
          <cell r="I241">
            <v>12000</v>
          </cell>
          <cell r="J241">
            <v>9765.39</v>
          </cell>
        </row>
        <row r="242">
          <cell r="A242">
            <v>1613000510</v>
          </cell>
          <cell r="B242" t="str">
            <v>כיבודים למועצה</v>
          </cell>
          <cell r="C242">
            <v>17490</v>
          </cell>
          <cell r="D242">
            <v>25766</v>
          </cell>
          <cell r="E242">
            <v>9087.5</v>
          </cell>
          <cell r="F242">
            <v>34853.5</v>
          </cell>
          <cell r="G242">
            <v>-17363.5</v>
          </cell>
          <cell r="H242">
            <v>199.27</v>
          </cell>
          <cell r="I242">
            <v>21000</v>
          </cell>
          <cell r="J242">
            <v>25766</v>
          </cell>
        </row>
        <row r="243">
          <cell r="A243">
            <v>1613000521</v>
          </cell>
          <cell r="B243" t="str">
            <v>השתלמויות</v>
          </cell>
          <cell r="C243">
            <v>56640</v>
          </cell>
          <cell r="D243">
            <v>85530</v>
          </cell>
          <cell r="E243">
            <v>0</v>
          </cell>
          <cell r="F243">
            <v>85530</v>
          </cell>
          <cell r="G243">
            <v>-28890</v>
          </cell>
          <cell r="H243">
            <v>151</v>
          </cell>
          <cell r="I243">
            <v>68000</v>
          </cell>
          <cell r="J243">
            <v>85530</v>
          </cell>
        </row>
        <row r="244">
          <cell r="A244">
            <v>1613000522</v>
          </cell>
          <cell r="B244" t="str">
            <v>ספרות מקצועית</v>
          </cell>
          <cell r="C244">
            <v>0</v>
          </cell>
          <cell r="D244">
            <v>1733</v>
          </cell>
          <cell r="E244">
            <v>0</v>
          </cell>
          <cell r="F244">
            <v>1733</v>
          </cell>
          <cell r="G244">
            <v>-1733</v>
          </cell>
          <cell r="H244">
            <v>0</v>
          </cell>
          <cell r="I244">
            <v>0</v>
          </cell>
          <cell r="J244">
            <v>1733</v>
          </cell>
        </row>
        <row r="245">
          <cell r="A245">
            <v>1613000540</v>
          </cell>
          <cell r="B245" t="str">
            <v>תקשורת</v>
          </cell>
          <cell r="C245">
            <v>59980</v>
          </cell>
          <cell r="D245">
            <v>19165.189999999999</v>
          </cell>
          <cell r="E245">
            <v>800</v>
          </cell>
          <cell r="F245">
            <v>19965.189999999999</v>
          </cell>
          <cell r="G245">
            <v>40014.81</v>
          </cell>
          <cell r="H245">
            <v>33.28</v>
          </cell>
          <cell r="I245">
            <v>72000</v>
          </cell>
          <cell r="J245">
            <v>19165.189999999999</v>
          </cell>
        </row>
        <row r="246">
          <cell r="A246">
            <v>1613000550</v>
          </cell>
          <cell r="B246" t="str">
            <v>פרסומים</v>
          </cell>
          <cell r="C246">
            <v>15830</v>
          </cell>
          <cell r="D246">
            <v>83080.5</v>
          </cell>
          <cell r="E246">
            <v>16680.599999999999</v>
          </cell>
          <cell r="F246">
            <v>99761.1</v>
          </cell>
          <cell r="G246">
            <v>-83931.1</v>
          </cell>
          <cell r="H246">
            <v>630.20000000000005</v>
          </cell>
          <cell r="I246">
            <v>19000</v>
          </cell>
          <cell r="J246">
            <v>85224</v>
          </cell>
        </row>
        <row r="247">
          <cell r="A247">
            <v>1613000560</v>
          </cell>
          <cell r="B247" t="str">
            <v>משרדיות</v>
          </cell>
          <cell r="C247">
            <v>29160</v>
          </cell>
          <cell r="D247">
            <v>19699</v>
          </cell>
          <cell r="E247">
            <v>0</v>
          </cell>
          <cell r="F247">
            <v>19699</v>
          </cell>
          <cell r="G247">
            <v>9461</v>
          </cell>
          <cell r="H247">
            <v>67.55</v>
          </cell>
          <cell r="I247">
            <v>35000</v>
          </cell>
          <cell r="J247">
            <v>26637</v>
          </cell>
        </row>
        <row r="248">
          <cell r="A248">
            <v>1613000570</v>
          </cell>
          <cell r="B248" t="str">
            <v>מיכון ועיבוד נתונים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1613000930</v>
          </cell>
          <cell r="B249" t="str">
            <v>ציוד יסודי</v>
          </cell>
          <cell r="C249">
            <v>16660</v>
          </cell>
          <cell r="D249">
            <v>638</v>
          </cell>
          <cell r="E249">
            <v>0</v>
          </cell>
          <cell r="F249">
            <v>638</v>
          </cell>
          <cell r="G249">
            <v>16022</v>
          </cell>
          <cell r="H249">
            <v>3.82</v>
          </cell>
          <cell r="I249">
            <v>20000</v>
          </cell>
          <cell r="J249">
            <v>2616</v>
          </cell>
        </row>
        <row r="250">
          <cell r="A250">
            <v>1613100110</v>
          </cell>
          <cell r="B250" t="str">
            <v>הוצ משכורת מזכירות מועצה</v>
          </cell>
          <cell r="C250">
            <v>307380</v>
          </cell>
          <cell r="D250">
            <v>195581.44</v>
          </cell>
          <cell r="E250">
            <v>0</v>
          </cell>
          <cell r="F250">
            <v>195581.44</v>
          </cell>
          <cell r="G250">
            <v>111798.56</v>
          </cell>
          <cell r="H250">
            <v>63.62</v>
          </cell>
          <cell r="I250">
            <v>369000</v>
          </cell>
          <cell r="J250">
            <v>195581.44</v>
          </cell>
        </row>
        <row r="251">
          <cell r="A251">
            <v>1616100521</v>
          </cell>
          <cell r="B251" t="str">
            <v>השתלמויות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1616100810</v>
          </cell>
          <cell r="B252" t="str">
            <v>השתלמיות</v>
          </cell>
          <cell r="C252">
            <v>10000</v>
          </cell>
          <cell r="D252">
            <v>0</v>
          </cell>
          <cell r="E252">
            <v>0</v>
          </cell>
          <cell r="F252">
            <v>0</v>
          </cell>
          <cell r="G252">
            <v>10000</v>
          </cell>
          <cell r="H252">
            <v>0</v>
          </cell>
          <cell r="I252">
            <v>12000</v>
          </cell>
          <cell r="J252">
            <v>5700</v>
          </cell>
        </row>
        <row r="253">
          <cell r="A253">
            <v>1617000620</v>
          </cell>
          <cell r="B253" t="str">
            <v>הוצאות משפטיות</v>
          </cell>
          <cell r="C253">
            <v>83300</v>
          </cell>
          <cell r="D253">
            <v>105345.86</v>
          </cell>
          <cell r="E253">
            <v>0</v>
          </cell>
          <cell r="F253">
            <v>105345.86</v>
          </cell>
          <cell r="G253">
            <v>-22045.86</v>
          </cell>
          <cell r="H253">
            <v>126.46</v>
          </cell>
          <cell r="I253">
            <v>100000</v>
          </cell>
          <cell r="J253">
            <v>108153.86</v>
          </cell>
        </row>
        <row r="254">
          <cell r="A254">
            <v>1617000750</v>
          </cell>
          <cell r="B254" t="str">
            <v>יעוץ משפטי</v>
          </cell>
          <cell r="C254">
            <v>186590</v>
          </cell>
          <cell r="D254">
            <v>223410</v>
          </cell>
          <cell r="E254">
            <v>0</v>
          </cell>
          <cell r="F254">
            <v>223410</v>
          </cell>
          <cell r="G254">
            <v>-36820</v>
          </cell>
          <cell r="H254">
            <v>119.73</v>
          </cell>
          <cell r="I254">
            <v>224000</v>
          </cell>
          <cell r="J254">
            <v>246410</v>
          </cell>
        </row>
        <row r="255">
          <cell r="A255">
            <v>1617000980</v>
          </cell>
          <cell r="B255" t="str">
            <v>משפטיות</v>
          </cell>
          <cell r="C255">
            <v>2500</v>
          </cell>
          <cell r="D255">
            <v>30000</v>
          </cell>
          <cell r="E255">
            <v>0</v>
          </cell>
          <cell r="F255">
            <v>30000</v>
          </cell>
          <cell r="G255">
            <v>-27500</v>
          </cell>
          <cell r="H255">
            <v>1200</v>
          </cell>
          <cell r="I255">
            <v>3000</v>
          </cell>
          <cell r="J255">
            <v>30000</v>
          </cell>
        </row>
        <row r="256">
          <cell r="A256">
            <v>1618000780</v>
          </cell>
          <cell r="B256" t="str">
            <v>העמותה לקידום מקצועי</v>
          </cell>
          <cell r="C256">
            <v>58310</v>
          </cell>
          <cell r="D256">
            <v>0</v>
          </cell>
          <cell r="E256">
            <v>0</v>
          </cell>
          <cell r="F256">
            <v>0</v>
          </cell>
          <cell r="G256">
            <v>58310</v>
          </cell>
          <cell r="H256">
            <v>0</v>
          </cell>
          <cell r="I256">
            <v>70000</v>
          </cell>
          <cell r="J256">
            <v>0</v>
          </cell>
        </row>
        <row r="257">
          <cell r="A257">
            <v>1619000580</v>
          </cell>
          <cell r="B257" t="str">
            <v>הוצ" בחירות ברישות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A258">
            <v>1621000110</v>
          </cell>
          <cell r="B258" t="str">
            <v>משכורת</v>
          </cell>
          <cell r="C258">
            <v>568940</v>
          </cell>
          <cell r="D258">
            <v>519009.27</v>
          </cell>
          <cell r="E258">
            <v>0</v>
          </cell>
          <cell r="F258">
            <v>519009.27</v>
          </cell>
          <cell r="G258">
            <v>49930.73</v>
          </cell>
          <cell r="H258">
            <v>91.22</v>
          </cell>
          <cell r="I258">
            <v>683000</v>
          </cell>
          <cell r="J258">
            <v>519009.27</v>
          </cell>
        </row>
        <row r="259">
          <cell r="A259">
            <v>1621000521</v>
          </cell>
          <cell r="B259" t="str">
            <v>השתלמיות גזברות</v>
          </cell>
          <cell r="C259">
            <v>5000</v>
          </cell>
          <cell r="D259">
            <v>4950</v>
          </cell>
          <cell r="E259">
            <v>0</v>
          </cell>
          <cell r="F259">
            <v>4950</v>
          </cell>
          <cell r="G259">
            <v>50</v>
          </cell>
          <cell r="H259">
            <v>99</v>
          </cell>
          <cell r="I259">
            <v>6000</v>
          </cell>
          <cell r="J259">
            <v>4950</v>
          </cell>
        </row>
        <row r="260">
          <cell r="A260">
            <v>1621000540</v>
          </cell>
          <cell r="B260" t="str">
            <v>הוצ תקשורת</v>
          </cell>
          <cell r="C260">
            <v>830</v>
          </cell>
          <cell r="D260">
            <v>0</v>
          </cell>
          <cell r="E260">
            <v>0</v>
          </cell>
          <cell r="F260">
            <v>0</v>
          </cell>
          <cell r="G260">
            <v>830</v>
          </cell>
          <cell r="H260">
            <v>0</v>
          </cell>
          <cell r="I260">
            <v>1000</v>
          </cell>
          <cell r="J260">
            <v>0</v>
          </cell>
        </row>
        <row r="261">
          <cell r="A261">
            <v>1621000750</v>
          </cell>
          <cell r="B261" t="str">
            <v>עבודות קבלניות</v>
          </cell>
          <cell r="C261">
            <v>118290</v>
          </cell>
          <cell r="D261">
            <v>93447</v>
          </cell>
          <cell r="E261">
            <v>0</v>
          </cell>
          <cell r="F261">
            <v>93447</v>
          </cell>
          <cell r="G261">
            <v>24843</v>
          </cell>
          <cell r="H261">
            <v>78.989999999999995</v>
          </cell>
          <cell r="I261">
            <v>142000</v>
          </cell>
          <cell r="J261">
            <v>93447</v>
          </cell>
        </row>
        <row r="262">
          <cell r="A262">
            <v>1621100110</v>
          </cell>
          <cell r="B262" t="str">
            <v>מ.מ/ עוזר לגזבר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1621100523</v>
          </cell>
          <cell r="B263" t="str">
            <v>דמי  חבר במרכז השלטון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>
            <v>1621100810</v>
          </cell>
          <cell r="B264" t="str">
            <v>דמי חבר במרכז השלטון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>
            <v>1621130110</v>
          </cell>
          <cell r="B265" t="str">
            <v>משכורת קופאית</v>
          </cell>
          <cell r="C265">
            <v>107460</v>
          </cell>
          <cell r="D265">
            <v>95161.8</v>
          </cell>
          <cell r="E265">
            <v>0</v>
          </cell>
          <cell r="F265">
            <v>95161.8</v>
          </cell>
          <cell r="G265">
            <v>12298.2</v>
          </cell>
          <cell r="H265">
            <v>88.55</v>
          </cell>
          <cell r="I265">
            <v>129000</v>
          </cell>
          <cell r="J265">
            <v>95161.8</v>
          </cell>
        </row>
        <row r="266">
          <cell r="A266">
            <v>1621300110</v>
          </cell>
          <cell r="B266" t="str">
            <v>משכורת</v>
          </cell>
          <cell r="C266">
            <v>118290</v>
          </cell>
          <cell r="D266">
            <v>130477.56</v>
          </cell>
          <cell r="E266">
            <v>0</v>
          </cell>
          <cell r="F266">
            <v>130477.56</v>
          </cell>
          <cell r="G266">
            <v>-12187.56</v>
          </cell>
          <cell r="H266">
            <v>110.3</v>
          </cell>
          <cell r="I266">
            <v>142000</v>
          </cell>
          <cell r="J266">
            <v>130477.56</v>
          </cell>
        </row>
        <row r="267">
          <cell r="A267">
            <v>1621300521</v>
          </cell>
          <cell r="B267" t="str">
            <v>השתלמויות</v>
          </cell>
          <cell r="C267">
            <v>3330</v>
          </cell>
          <cell r="D267">
            <v>0</v>
          </cell>
          <cell r="E267">
            <v>0</v>
          </cell>
          <cell r="F267">
            <v>0</v>
          </cell>
          <cell r="G267">
            <v>3330</v>
          </cell>
          <cell r="H267">
            <v>0</v>
          </cell>
          <cell r="I267">
            <v>4000</v>
          </cell>
          <cell r="J267">
            <v>0</v>
          </cell>
        </row>
        <row r="268">
          <cell r="A268">
            <v>1621300570</v>
          </cell>
          <cell r="B268" t="str">
            <v>אוטומאציה</v>
          </cell>
          <cell r="C268">
            <v>217410</v>
          </cell>
          <cell r="D268">
            <v>228885.87</v>
          </cell>
          <cell r="E268">
            <v>0</v>
          </cell>
          <cell r="F268">
            <v>228885.87</v>
          </cell>
          <cell r="G268">
            <v>-11475.87</v>
          </cell>
          <cell r="H268">
            <v>105.27</v>
          </cell>
          <cell r="I268">
            <v>261000</v>
          </cell>
          <cell r="J268">
            <v>228885.87</v>
          </cell>
        </row>
        <row r="269">
          <cell r="A269">
            <v>1621500110</v>
          </cell>
          <cell r="B269" t="str">
            <v>חשב שכר</v>
          </cell>
          <cell r="C269">
            <v>83300</v>
          </cell>
          <cell r="D269">
            <v>74893.94</v>
          </cell>
          <cell r="E269">
            <v>0</v>
          </cell>
          <cell r="F269">
            <v>74893.94</v>
          </cell>
          <cell r="G269">
            <v>8406.06</v>
          </cell>
          <cell r="H269">
            <v>89.9</v>
          </cell>
          <cell r="I269">
            <v>100000</v>
          </cell>
          <cell r="J269">
            <v>74893.94</v>
          </cell>
        </row>
        <row r="270">
          <cell r="A270">
            <v>1621600110</v>
          </cell>
          <cell r="B270" t="str">
            <v>קניין מועצה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>
            <v>1623000110</v>
          </cell>
          <cell r="B271" t="str">
            <v>משכורת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1623000750</v>
          </cell>
          <cell r="B272" t="str">
            <v>חברת גביה עמלות גביה</v>
          </cell>
          <cell r="C272">
            <v>458150</v>
          </cell>
          <cell r="D272">
            <v>355922.14</v>
          </cell>
          <cell r="E272">
            <v>0</v>
          </cell>
          <cell r="F272">
            <v>355922.14</v>
          </cell>
          <cell r="G272">
            <v>102227.86</v>
          </cell>
          <cell r="H272">
            <v>77.680000000000007</v>
          </cell>
          <cell r="I272">
            <v>550000</v>
          </cell>
          <cell r="J272">
            <v>355922.14</v>
          </cell>
        </row>
        <row r="273">
          <cell r="A273">
            <v>1623100110</v>
          </cell>
          <cell r="B273" t="str">
            <v>הוצ משכורת</v>
          </cell>
          <cell r="C273">
            <v>55810</v>
          </cell>
          <cell r="D273">
            <v>88423.46</v>
          </cell>
          <cell r="E273">
            <v>0</v>
          </cell>
          <cell r="F273">
            <v>88423.46</v>
          </cell>
          <cell r="G273">
            <v>-32613.46</v>
          </cell>
          <cell r="H273">
            <v>158.43</v>
          </cell>
          <cell r="I273">
            <v>67000</v>
          </cell>
          <cell r="J273">
            <v>88423.46</v>
          </cell>
        </row>
        <row r="274">
          <cell r="A274">
            <v>1631000610</v>
          </cell>
          <cell r="B274" t="str">
            <v>עמלות</v>
          </cell>
          <cell r="C274">
            <v>122450</v>
          </cell>
          <cell r="D274">
            <v>135553.54</v>
          </cell>
          <cell r="E274">
            <v>0</v>
          </cell>
          <cell r="F274">
            <v>135553.54</v>
          </cell>
          <cell r="G274">
            <v>-13103.54</v>
          </cell>
          <cell r="H274">
            <v>110.7</v>
          </cell>
          <cell r="I274">
            <v>147000</v>
          </cell>
          <cell r="J274">
            <v>135553.54</v>
          </cell>
        </row>
        <row r="275">
          <cell r="A275">
            <v>1632000620</v>
          </cell>
          <cell r="B275" t="str">
            <v>ריבית</v>
          </cell>
          <cell r="C275">
            <v>2500</v>
          </cell>
          <cell r="D275">
            <v>-929.32</v>
          </cell>
          <cell r="E275">
            <v>0</v>
          </cell>
          <cell r="F275">
            <v>-929.32</v>
          </cell>
          <cell r="G275">
            <v>3429.32</v>
          </cell>
          <cell r="H275">
            <v>-37.17</v>
          </cell>
          <cell r="I275">
            <v>3000</v>
          </cell>
          <cell r="J275">
            <v>-929.32</v>
          </cell>
        </row>
        <row r="276">
          <cell r="A276">
            <v>1649100691</v>
          </cell>
          <cell r="B276" t="str">
            <v>קרן</v>
          </cell>
          <cell r="C276">
            <v>229910</v>
          </cell>
          <cell r="D276">
            <v>207347.14</v>
          </cell>
          <cell r="E276">
            <v>0</v>
          </cell>
          <cell r="F276">
            <v>207347.14</v>
          </cell>
          <cell r="G276">
            <v>22562.86</v>
          </cell>
          <cell r="H276">
            <v>90.18</v>
          </cell>
          <cell r="I276">
            <v>276000</v>
          </cell>
          <cell r="J276">
            <v>207347.14</v>
          </cell>
        </row>
        <row r="277">
          <cell r="A277">
            <v>1649100692</v>
          </cell>
          <cell r="B277" t="str">
            <v>רבית</v>
          </cell>
          <cell r="C277">
            <v>66640</v>
          </cell>
          <cell r="D277">
            <v>48605.18</v>
          </cell>
          <cell r="E277">
            <v>0</v>
          </cell>
          <cell r="F277">
            <v>48605.18</v>
          </cell>
          <cell r="G277">
            <v>18034.82</v>
          </cell>
          <cell r="H277">
            <v>72.930000000000007</v>
          </cell>
          <cell r="I277">
            <v>80000</v>
          </cell>
          <cell r="J277">
            <v>48605.18</v>
          </cell>
        </row>
        <row r="278">
          <cell r="A278">
            <v>1649100693</v>
          </cell>
          <cell r="B278" t="str">
            <v>הצמדה</v>
          </cell>
          <cell r="C278">
            <v>26660</v>
          </cell>
          <cell r="D278">
            <v>24062.61</v>
          </cell>
          <cell r="E278">
            <v>0</v>
          </cell>
          <cell r="F278">
            <v>24062.61</v>
          </cell>
          <cell r="G278">
            <v>2597.39</v>
          </cell>
          <cell r="H278">
            <v>90.25</v>
          </cell>
          <cell r="I278">
            <v>32000</v>
          </cell>
          <cell r="J278">
            <v>24062.61</v>
          </cell>
        </row>
        <row r="279">
          <cell r="A279">
            <v>1711000540</v>
          </cell>
          <cell r="B279" t="str">
            <v>הות" תקשורת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>
            <v>1712200110</v>
          </cell>
          <cell r="B280" t="str">
            <v>משכורת</v>
          </cell>
          <cell r="C280">
            <v>0</v>
          </cell>
          <cell r="D280">
            <v>18437.669999999998</v>
          </cell>
          <cell r="E280">
            <v>0</v>
          </cell>
          <cell r="F280">
            <v>18437.669999999998</v>
          </cell>
          <cell r="G280">
            <v>-18437.669999999998</v>
          </cell>
          <cell r="H280">
            <v>0</v>
          </cell>
          <cell r="I280">
            <v>0</v>
          </cell>
          <cell r="J280">
            <v>18437.669999999998</v>
          </cell>
        </row>
        <row r="281">
          <cell r="A281">
            <v>1712200750</v>
          </cell>
          <cell r="B281" t="str">
            <v>עבודות קבלניות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>
            <v>1712220750</v>
          </cell>
          <cell r="B282" t="str">
            <v>ימי רענון והשלמויות תברואה</v>
          </cell>
          <cell r="C282">
            <v>830</v>
          </cell>
          <cell r="D282">
            <v>0</v>
          </cell>
          <cell r="E282">
            <v>0</v>
          </cell>
          <cell r="F282">
            <v>0</v>
          </cell>
          <cell r="G282">
            <v>830</v>
          </cell>
          <cell r="H282">
            <v>0</v>
          </cell>
          <cell r="I282">
            <v>1000</v>
          </cell>
          <cell r="J282">
            <v>0</v>
          </cell>
        </row>
        <row r="283">
          <cell r="A283">
            <v>1712300750</v>
          </cell>
          <cell r="B283" t="str">
            <v>עבודות קבלניות-פינוי אשפה</v>
          </cell>
          <cell r="C283">
            <v>2561480</v>
          </cell>
          <cell r="D283">
            <v>2336708</v>
          </cell>
          <cell r="E283">
            <v>20308</v>
          </cell>
          <cell r="F283">
            <v>2357016</v>
          </cell>
          <cell r="G283">
            <v>204464</v>
          </cell>
          <cell r="H283">
            <v>92.01</v>
          </cell>
          <cell r="I283">
            <v>3075000</v>
          </cell>
          <cell r="J283">
            <v>2339633</v>
          </cell>
        </row>
        <row r="284">
          <cell r="A284">
            <v>1712300932</v>
          </cell>
          <cell r="B284" t="str">
            <v>פחי אשפה</v>
          </cell>
          <cell r="C284">
            <v>3330</v>
          </cell>
          <cell r="D284">
            <v>0</v>
          </cell>
          <cell r="E284">
            <v>0</v>
          </cell>
          <cell r="F284">
            <v>0</v>
          </cell>
          <cell r="G284">
            <v>3330</v>
          </cell>
          <cell r="H284">
            <v>0</v>
          </cell>
          <cell r="I284">
            <v>4000</v>
          </cell>
          <cell r="J284">
            <v>0</v>
          </cell>
        </row>
        <row r="285">
          <cell r="A285">
            <v>1713000110</v>
          </cell>
          <cell r="B285" t="str">
            <v>משכורות כוללות</v>
          </cell>
          <cell r="C285">
            <v>99130</v>
          </cell>
          <cell r="D285">
            <v>95474.29</v>
          </cell>
          <cell r="E285">
            <v>0</v>
          </cell>
          <cell r="F285">
            <v>95474.29</v>
          </cell>
          <cell r="G285">
            <v>3655.71</v>
          </cell>
          <cell r="H285">
            <v>96.31</v>
          </cell>
          <cell r="I285">
            <v>119000</v>
          </cell>
          <cell r="J285">
            <v>95474.29</v>
          </cell>
        </row>
        <row r="286">
          <cell r="A286">
            <v>1713100830</v>
          </cell>
          <cell r="B286" t="str">
            <v>איגוד ערים-איכות הסביבה</v>
          </cell>
          <cell r="C286">
            <v>33320</v>
          </cell>
          <cell r="D286">
            <v>22144</v>
          </cell>
          <cell r="E286">
            <v>0</v>
          </cell>
          <cell r="F286">
            <v>22144</v>
          </cell>
          <cell r="G286">
            <v>11176</v>
          </cell>
          <cell r="H286">
            <v>66.45</v>
          </cell>
          <cell r="I286">
            <v>40000</v>
          </cell>
          <cell r="J286">
            <v>22144</v>
          </cell>
        </row>
        <row r="287">
          <cell r="A287">
            <v>1714200830</v>
          </cell>
          <cell r="B287" t="str">
            <v>א ע שמרון מטבחיים השת</v>
          </cell>
          <cell r="C287">
            <v>66640</v>
          </cell>
          <cell r="D287">
            <v>100968.5</v>
          </cell>
          <cell r="E287">
            <v>0</v>
          </cell>
          <cell r="F287">
            <v>100968.5</v>
          </cell>
          <cell r="G287">
            <v>-34328.5</v>
          </cell>
          <cell r="H287">
            <v>151.51</v>
          </cell>
          <cell r="I287">
            <v>80000</v>
          </cell>
          <cell r="J287">
            <v>100968.5</v>
          </cell>
        </row>
        <row r="288">
          <cell r="A288">
            <v>1715000720</v>
          </cell>
          <cell r="B288" t="str">
            <v>חומרי הדברה</v>
          </cell>
          <cell r="C288">
            <v>4170</v>
          </cell>
          <cell r="D288">
            <v>3907.8</v>
          </cell>
          <cell r="E288">
            <v>0</v>
          </cell>
          <cell r="F288">
            <v>3907.8</v>
          </cell>
          <cell r="G288">
            <v>262.2</v>
          </cell>
          <cell r="H288">
            <v>93.71</v>
          </cell>
          <cell r="I288">
            <v>5000</v>
          </cell>
          <cell r="J288">
            <v>3907.8</v>
          </cell>
        </row>
        <row r="289">
          <cell r="A289">
            <v>1715000840</v>
          </cell>
          <cell r="B289" t="str">
            <v>כבוי חדרה</v>
          </cell>
          <cell r="C289">
            <v>78300</v>
          </cell>
          <cell r="D289">
            <v>0</v>
          </cell>
          <cell r="E289">
            <v>0</v>
          </cell>
          <cell r="F289">
            <v>0</v>
          </cell>
          <cell r="G289">
            <v>78300</v>
          </cell>
          <cell r="H289">
            <v>0</v>
          </cell>
          <cell r="I289">
            <v>94000</v>
          </cell>
          <cell r="J289">
            <v>0</v>
          </cell>
        </row>
        <row r="290">
          <cell r="A290">
            <v>1722000930</v>
          </cell>
          <cell r="B290" t="str">
            <v>שמירה בטחונית ציוד</v>
          </cell>
          <cell r="C290">
            <v>9160</v>
          </cell>
          <cell r="D290">
            <v>-1643.85</v>
          </cell>
          <cell r="E290">
            <v>0</v>
          </cell>
          <cell r="F290">
            <v>-1643.85</v>
          </cell>
          <cell r="G290">
            <v>10803.85</v>
          </cell>
          <cell r="H290">
            <v>-17.940000000000001</v>
          </cell>
          <cell r="I290">
            <v>11000</v>
          </cell>
          <cell r="J290">
            <v>-1643.85</v>
          </cell>
        </row>
        <row r="291">
          <cell r="A291">
            <v>1724000591</v>
          </cell>
          <cell r="B291" t="str">
            <v>הג"א השתתפיות ותרומות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1724000810</v>
          </cell>
          <cell r="B292" t="str">
            <v>הג"א השתתפיות ותרומות</v>
          </cell>
          <cell r="C292">
            <v>89130</v>
          </cell>
          <cell r="D292">
            <v>164500.5</v>
          </cell>
          <cell r="E292">
            <v>0</v>
          </cell>
          <cell r="F292">
            <v>164500.5</v>
          </cell>
          <cell r="G292">
            <v>-75370.5</v>
          </cell>
          <cell r="H292">
            <v>184.56</v>
          </cell>
          <cell r="I292">
            <v>107000</v>
          </cell>
          <cell r="J292">
            <v>164500.5</v>
          </cell>
        </row>
        <row r="293">
          <cell r="A293">
            <v>1731000110</v>
          </cell>
          <cell r="B293" t="str">
            <v>משכורת מהנדס המועצה</v>
          </cell>
          <cell r="C293">
            <v>385680</v>
          </cell>
          <cell r="D293">
            <v>208223.21</v>
          </cell>
          <cell r="E293">
            <v>0</v>
          </cell>
          <cell r="F293">
            <v>208223.21</v>
          </cell>
          <cell r="G293">
            <v>177456.79</v>
          </cell>
          <cell r="H293">
            <v>53.98</v>
          </cell>
          <cell r="I293">
            <v>463000</v>
          </cell>
          <cell r="J293">
            <v>208223.21</v>
          </cell>
        </row>
        <row r="294">
          <cell r="A294">
            <v>1731000540</v>
          </cell>
          <cell r="B294" t="str">
            <v>הוצ" תקשורת</v>
          </cell>
          <cell r="C294">
            <v>2500</v>
          </cell>
          <cell r="D294">
            <v>0</v>
          </cell>
          <cell r="E294">
            <v>0</v>
          </cell>
          <cell r="F294">
            <v>0</v>
          </cell>
          <cell r="G294">
            <v>2500</v>
          </cell>
          <cell r="H294">
            <v>0</v>
          </cell>
          <cell r="I294">
            <v>3000</v>
          </cell>
          <cell r="J294">
            <v>0</v>
          </cell>
        </row>
        <row r="295">
          <cell r="A295">
            <v>1731000750</v>
          </cell>
          <cell r="B295" t="str">
            <v>עבודות קבלניות _תכנו</v>
          </cell>
          <cell r="C295">
            <v>6660</v>
          </cell>
          <cell r="D295">
            <v>2925</v>
          </cell>
          <cell r="E295">
            <v>0</v>
          </cell>
          <cell r="F295">
            <v>2925</v>
          </cell>
          <cell r="G295">
            <v>3735</v>
          </cell>
          <cell r="H295">
            <v>43.91</v>
          </cell>
          <cell r="I295">
            <v>8000</v>
          </cell>
          <cell r="J295">
            <v>2925</v>
          </cell>
        </row>
        <row r="296">
          <cell r="A296">
            <v>1732000110</v>
          </cell>
          <cell r="B296" t="str">
            <v>מזכירות מחלקת הנדסה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1732000540</v>
          </cell>
          <cell r="B297" t="str">
            <v>פלפון מהנדס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8">
          <cell r="A298">
            <v>1732000950</v>
          </cell>
          <cell r="B298" t="str">
            <v>צילומים</v>
          </cell>
          <cell r="C298">
            <v>55810</v>
          </cell>
          <cell r="D298">
            <v>772.2</v>
          </cell>
          <cell r="E298">
            <v>0</v>
          </cell>
          <cell r="F298">
            <v>772.2</v>
          </cell>
          <cell r="G298">
            <v>55037.8</v>
          </cell>
          <cell r="H298">
            <v>1.38</v>
          </cell>
          <cell r="I298">
            <v>67000</v>
          </cell>
          <cell r="J298">
            <v>772.2</v>
          </cell>
        </row>
        <row r="299">
          <cell r="A299">
            <v>1732300750</v>
          </cell>
          <cell r="B299" t="str">
            <v>מדידות</v>
          </cell>
          <cell r="C299">
            <v>24160</v>
          </cell>
          <cell r="D299">
            <v>48.48</v>
          </cell>
          <cell r="E299">
            <v>3500</v>
          </cell>
          <cell r="F299">
            <v>3548.48</v>
          </cell>
          <cell r="G299">
            <v>20611.52</v>
          </cell>
          <cell r="H299">
            <v>14.68</v>
          </cell>
          <cell r="I299">
            <v>29000</v>
          </cell>
          <cell r="J299">
            <v>48.48</v>
          </cell>
        </row>
        <row r="300">
          <cell r="A300">
            <v>1732400750</v>
          </cell>
          <cell r="B300" t="str">
            <v>השתתפות בתכנון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1742100592</v>
          </cell>
          <cell r="B301" t="str">
            <v>רשות הניקוז השתתפות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A302">
            <v>1742100750</v>
          </cell>
          <cell r="B302" t="str">
            <v>אחזקת כבישים</v>
          </cell>
          <cell r="C302">
            <v>83300</v>
          </cell>
          <cell r="D302">
            <v>81841</v>
          </cell>
          <cell r="E302">
            <v>7916.22</v>
          </cell>
          <cell r="F302">
            <v>89757.22</v>
          </cell>
          <cell r="G302">
            <v>-6457.22</v>
          </cell>
          <cell r="H302">
            <v>107.75</v>
          </cell>
          <cell r="I302">
            <v>100000</v>
          </cell>
          <cell r="J302">
            <v>84435</v>
          </cell>
        </row>
        <row r="303">
          <cell r="A303">
            <v>1742100810</v>
          </cell>
          <cell r="B303" t="str">
            <v>רשות הניקוז השתתפות</v>
          </cell>
          <cell r="C303">
            <v>44150</v>
          </cell>
          <cell r="D303">
            <v>85000</v>
          </cell>
          <cell r="E303">
            <v>0</v>
          </cell>
          <cell r="F303">
            <v>85000</v>
          </cell>
          <cell r="G303">
            <v>-40850</v>
          </cell>
          <cell r="H303">
            <v>192.52</v>
          </cell>
          <cell r="I303">
            <v>53000</v>
          </cell>
          <cell r="J303">
            <v>85000</v>
          </cell>
        </row>
        <row r="304">
          <cell r="A304">
            <v>1742100930</v>
          </cell>
          <cell r="B304" t="str">
            <v>ציוד יסודי כבישים</v>
          </cell>
          <cell r="C304">
            <v>4170</v>
          </cell>
          <cell r="D304">
            <v>0</v>
          </cell>
          <cell r="E304">
            <v>0</v>
          </cell>
          <cell r="F304">
            <v>0</v>
          </cell>
          <cell r="G304">
            <v>4170</v>
          </cell>
          <cell r="H304">
            <v>0</v>
          </cell>
          <cell r="I304">
            <v>5000</v>
          </cell>
          <cell r="J304">
            <v>0</v>
          </cell>
        </row>
        <row r="305">
          <cell r="A305">
            <v>1743000110</v>
          </cell>
          <cell r="B305" t="str">
            <v>משכורת חשמלאי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1743000431</v>
          </cell>
          <cell r="B306" t="str">
            <v>חשמל רחובות</v>
          </cell>
          <cell r="C306">
            <v>209080</v>
          </cell>
          <cell r="D306">
            <v>163058.23999999999</v>
          </cell>
          <cell r="E306">
            <v>0</v>
          </cell>
          <cell r="F306">
            <v>163058.23999999999</v>
          </cell>
          <cell r="G306">
            <v>46021.760000000002</v>
          </cell>
          <cell r="H306">
            <v>77.98</v>
          </cell>
          <cell r="I306">
            <v>251000</v>
          </cell>
          <cell r="J306">
            <v>169413.21</v>
          </cell>
        </row>
        <row r="307">
          <cell r="A307">
            <v>1743000540</v>
          </cell>
          <cell r="B307" t="str">
            <v>הוצ תקשורת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>
            <v>1743000750</v>
          </cell>
          <cell r="B308" t="str">
            <v>עבודות קבלניות- חשמל</v>
          </cell>
          <cell r="C308">
            <v>147440</v>
          </cell>
          <cell r="D308">
            <v>101148.65</v>
          </cell>
          <cell r="E308">
            <v>66403.61</v>
          </cell>
          <cell r="F308">
            <v>167552.26</v>
          </cell>
          <cell r="G308">
            <v>-20112.259999999998</v>
          </cell>
          <cell r="H308">
            <v>113.64</v>
          </cell>
          <cell r="I308">
            <v>177000</v>
          </cell>
          <cell r="J308">
            <v>101148.65</v>
          </cell>
        </row>
        <row r="309">
          <cell r="A309">
            <v>1744000581</v>
          </cell>
          <cell r="B309" t="str">
            <v>בטיחות בדרכים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A310">
            <v>1744000810</v>
          </cell>
          <cell r="B310" t="str">
            <v>בטיחות בדרכים</v>
          </cell>
          <cell r="C310">
            <v>83300</v>
          </cell>
          <cell r="D310">
            <v>38600</v>
          </cell>
          <cell r="E310">
            <v>32400</v>
          </cell>
          <cell r="F310">
            <v>71000</v>
          </cell>
          <cell r="G310">
            <v>12300</v>
          </cell>
          <cell r="H310">
            <v>85.23</v>
          </cell>
          <cell r="I310">
            <v>100000</v>
          </cell>
          <cell r="J310">
            <v>38600</v>
          </cell>
        </row>
        <row r="311">
          <cell r="A311">
            <v>1746000422</v>
          </cell>
          <cell r="B311" t="str">
            <v>גינון</v>
          </cell>
          <cell r="C311">
            <v>0</v>
          </cell>
          <cell r="D311">
            <v>27378</v>
          </cell>
          <cell r="E311">
            <v>2915.64</v>
          </cell>
          <cell r="F311">
            <v>30293.64</v>
          </cell>
          <cell r="G311">
            <v>-30293.64</v>
          </cell>
          <cell r="H311">
            <v>0</v>
          </cell>
          <cell r="I311">
            <v>0</v>
          </cell>
          <cell r="J311">
            <v>27378</v>
          </cell>
        </row>
        <row r="312">
          <cell r="A312">
            <v>1746000432</v>
          </cell>
          <cell r="B312" t="str">
            <v>הוצ מים לגינון</v>
          </cell>
          <cell r="C312">
            <v>8330</v>
          </cell>
          <cell r="D312">
            <v>0</v>
          </cell>
          <cell r="E312">
            <v>0</v>
          </cell>
          <cell r="F312">
            <v>0</v>
          </cell>
          <cell r="G312">
            <v>8330</v>
          </cell>
          <cell r="H312">
            <v>0</v>
          </cell>
          <cell r="I312">
            <v>10000</v>
          </cell>
          <cell r="J312">
            <v>0</v>
          </cell>
        </row>
        <row r="313">
          <cell r="A313">
            <v>1746000740</v>
          </cell>
          <cell r="B313" t="str">
            <v>ציוד</v>
          </cell>
          <cell r="C313">
            <v>4170</v>
          </cell>
          <cell r="D313">
            <v>0</v>
          </cell>
          <cell r="E313">
            <v>0</v>
          </cell>
          <cell r="F313">
            <v>0</v>
          </cell>
          <cell r="G313">
            <v>4170</v>
          </cell>
          <cell r="H313">
            <v>0</v>
          </cell>
          <cell r="I313">
            <v>5000</v>
          </cell>
          <cell r="J313">
            <v>0</v>
          </cell>
        </row>
        <row r="314">
          <cell r="A314">
            <v>1746000810</v>
          </cell>
          <cell r="B314" t="str">
            <v>גנון</v>
          </cell>
          <cell r="C314">
            <v>136610</v>
          </cell>
          <cell r="D314">
            <v>4001.4</v>
          </cell>
          <cell r="E314">
            <v>3150</v>
          </cell>
          <cell r="F314">
            <v>7151.4</v>
          </cell>
          <cell r="G314">
            <v>129458.6</v>
          </cell>
          <cell r="H314">
            <v>5.23</v>
          </cell>
          <cell r="I314">
            <v>164000</v>
          </cell>
          <cell r="J314">
            <v>4001.4</v>
          </cell>
        </row>
        <row r="315">
          <cell r="A315">
            <v>1761000110</v>
          </cell>
          <cell r="B315" t="str">
            <v>מנהל מדור חרום</v>
          </cell>
          <cell r="C315">
            <v>198250</v>
          </cell>
          <cell r="D315">
            <v>178157.92</v>
          </cell>
          <cell r="E315">
            <v>0</v>
          </cell>
          <cell r="F315">
            <v>178157.92</v>
          </cell>
          <cell r="G315">
            <v>20092.080000000002</v>
          </cell>
          <cell r="H315">
            <v>89.86</v>
          </cell>
          <cell r="I315">
            <v>238000</v>
          </cell>
          <cell r="J315">
            <v>178157.92</v>
          </cell>
        </row>
        <row r="316">
          <cell r="A316">
            <v>1761000422</v>
          </cell>
          <cell r="B316" t="str">
            <v>מדור חירום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A317">
            <v>1761000431</v>
          </cell>
          <cell r="B317" t="str">
            <v>חשמל מחסן מל"ח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1761000521</v>
          </cell>
          <cell r="B318" t="str">
            <v>השתלמותוהצ" קבטי"ם</v>
          </cell>
          <cell r="C318">
            <v>1670</v>
          </cell>
          <cell r="D318">
            <v>835</v>
          </cell>
          <cell r="E318">
            <v>0</v>
          </cell>
          <cell r="F318">
            <v>835</v>
          </cell>
          <cell r="G318">
            <v>835</v>
          </cell>
          <cell r="H318">
            <v>50</v>
          </cell>
          <cell r="I318">
            <v>2000</v>
          </cell>
          <cell r="J318">
            <v>835</v>
          </cell>
        </row>
        <row r="319">
          <cell r="A319">
            <v>1761000540</v>
          </cell>
          <cell r="B319" t="str">
            <v>הוצ" תקשורת</v>
          </cell>
          <cell r="C319">
            <v>1670</v>
          </cell>
          <cell r="D319">
            <v>0</v>
          </cell>
          <cell r="E319">
            <v>0</v>
          </cell>
          <cell r="F319">
            <v>0</v>
          </cell>
          <cell r="G319">
            <v>1670</v>
          </cell>
          <cell r="H319">
            <v>0</v>
          </cell>
          <cell r="I319">
            <v>2000</v>
          </cell>
          <cell r="J319">
            <v>0</v>
          </cell>
        </row>
        <row r="320">
          <cell r="A320">
            <v>1761000810</v>
          </cell>
          <cell r="B320" t="str">
            <v>מדור חירום</v>
          </cell>
          <cell r="C320">
            <v>29160</v>
          </cell>
          <cell r="D320">
            <v>16100</v>
          </cell>
          <cell r="E320">
            <v>0</v>
          </cell>
          <cell r="F320">
            <v>16100</v>
          </cell>
          <cell r="G320">
            <v>13060</v>
          </cell>
          <cell r="H320">
            <v>55.21</v>
          </cell>
          <cell r="I320">
            <v>35000</v>
          </cell>
          <cell r="J320">
            <v>16100</v>
          </cell>
        </row>
        <row r="321">
          <cell r="A321">
            <v>1799000750</v>
          </cell>
          <cell r="B321" t="str">
            <v>עב" קבלניות חקלאיות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>
            <v>1811000110</v>
          </cell>
          <cell r="B322" t="str">
            <v>משכורת ושכ"ע</v>
          </cell>
          <cell r="C322">
            <v>411500</v>
          </cell>
          <cell r="D322">
            <v>405652.44</v>
          </cell>
          <cell r="E322">
            <v>0</v>
          </cell>
          <cell r="F322">
            <v>405652.44</v>
          </cell>
          <cell r="G322">
            <v>5847.56</v>
          </cell>
          <cell r="H322">
            <v>98.57</v>
          </cell>
          <cell r="I322">
            <v>494000</v>
          </cell>
          <cell r="J322">
            <v>405652.44</v>
          </cell>
        </row>
        <row r="323">
          <cell r="A323">
            <v>1811000521</v>
          </cell>
          <cell r="B323" t="str">
            <v>השתלמויות</v>
          </cell>
          <cell r="C323">
            <v>2500</v>
          </cell>
          <cell r="D323">
            <v>0</v>
          </cell>
          <cell r="E323">
            <v>0</v>
          </cell>
          <cell r="F323">
            <v>0</v>
          </cell>
          <cell r="G323">
            <v>2500</v>
          </cell>
          <cell r="H323">
            <v>0</v>
          </cell>
          <cell r="I323">
            <v>3000</v>
          </cell>
          <cell r="J323">
            <v>0</v>
          </cell>
        </row>
        <row r="324">
          <cell r="A324">
            <v>1811000540</v>
          </cell>
          <cell r="B324" t="str">
            <v>הוצ" תקשורת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1811000560</v>
          </cell>
          <cell r="B325" t="str">
            <v>מחלקת חינוך הנהלה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>
            <v>1811000810</v>
          </cell>
          <cell r="B326" t="str">
            <v>מחלקת חינוך הנהלה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>
            <v>1811200580</v>
          </cell>
          <cell r="B327" t="str">
            <v>הפעלת תוכנית קיץ במוסדות חנוך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>
            <v>1811200810</v>
          </cell>
          <cell r="B328" t="str">
            <v>הפעלת תוכנית קיץ במוסדות חנוך</v>
          </cell>
          <cell r="C328">
            <v>458150</v>
          </cell>
          <cell r="D328">
            <v>399718</v>
          </cell>
          <cell r="E328">
            <v>0</v>
          </cell>
          <cell r="F328">
            <v>399718</v>
          </cell>
          <cell r="G328">
            <v>58432</v>
          </cell>
          <cell r="H328">
            <v>87.24</v>
          </cell>
          <cell r="I328">
            <v>550000</v>
          </cell>
          <cell r="J328">
            <v>399718</v>
          </cell>
        </row>
        <row r="329">
          <cell r="A329">
            <v>1812000560</v>
          </cell>
          <cell r="B329" t="str">
            <v>צילומים והדפסות גנים</v>
          </cell>
          <cell r="C329">
            <v>36650</v>
          </cell>
          <cell r="D329">
            <v>6971</v>
          </cell>
          <cell r="E329">
            <v>350</v>
          </cell>
          <cell r="F329">
            <v>7321</v>
          </cell>
          <cell r="G329">
            <v>29329</v>
          </cell>
          <cell r="H329">
            <v>19.97</v>
          </cell>
          <cell r="I329">
            <v>44000</v>
          </cell>
          <cell r="J329">
            <v>7217</v>
          </cell>
        </row>
        <row r="330">
          <cell r="A330">
            <v>1812200110</v>
          </cell>
          <cell r="B330" t="str">
            <v>משכורת ושכ"ע</v>
          </cell>
          <cell r="C330">
            <v>3055440</v>
          </cell>
          <cell r="D330">
            <v>2842845.45</v>
          </cell>
          <cell r="E330">
            <v>0</v>
          </cell>
          <cell r="F330">
            <v>2842845.45</v>
          </cell>
          <cell r="G330">
            <v>212594.55</v>
          </cell>
          <cell r="H330">
            <v>93.04</v>
          </cell>
          <cell r="I330">
            <v>3668000</v>
          </cell>
          <cell r="J330">
            <v>2842845.45</v>
          </cell>
        </row>
        <row r="331">
          <cell r="A331">
            <v>1812200410</v>
          </cell>
          <cell r="B331" t="str">
            <v>שכר דירה  גנים</v>
          </cell>
          <cell r="C331">
            <v>13330</v>
          </cell>
          <cell r="D331">
            <v>0</v>
          </cell>
          <cell r="E331">
            <v>0</v>
          </cell>
          <cell r="F331">
            <v>0</v>
          </cell>
          <cell r="G331">
            <v>13330</v>
          </cell>
          <cell r="H331">
            <v>0</v>
          </cell>
          <cell r="I331">
            <v>16000</v>
          </cell>
          <cell r="J331">
            <v>0</v>
          </cell>
        </row>
        <row r="332">
          <cell r="A332">
            <v>1812200431</v>
          </cell>
          <cell r="B332" t="str">
            <v>חשמל גנים</v>
          </cell>
          <cell r="C332">
            <v>99130</v>
          </cell>
          <cell r="D332">
            <v>84853.04</v>
          </cell>
          <cell r="E332">
            <v>0</v>
          </cell>
          <cell r="F332">
            <v>84853.04</v>
          </cell>
          <cell r="G332">
            <v>14276.96</v>
          </cell>
          <cell r="H332">
            <v>85.59</v>
          </cell>
          <cell r="I332">
            <v>119000</v>
          </cell>
          <cell r="J332">
            <v>84853.04</v>
          </cell>
        </row>
        <row r="333">
          <cell r="A333">
            <v>1812200450</v>
          </cell>
          <cell r="B333" t="str">
            <v>הוצ" ריהוט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1812200650</v>
          </cell>
          <cell r="B334" t="str">
            <v>קייטנת קיץ2017</v>
          </cell>
          <cell r="C334">
            <v>0</v>
          </cell>
          <cell r="D334">
            <v>72409</v>
          </cell>
          <cell r="E334">
            <v>72615.3</v>
          </cell>
          <cell r="F334">
            <v>145024.29999999999</v>
          </cell>
          <cell r="G334">
            <v>-145024.29999999999</v>
          </cell>
          <cell r="H334">
            <v>0</v>
          </cell>
          <cell r="I334">
            <v>0</v>
          </cell>
          <cell r="J334">
            <v>72409</v>
          </cell>
        </row>
        <row r="335">
          <cell r="A335">
            <v>1812200720</v>
          </cell>
          <cell r="B335" t="str">
            <v>חומרים_-גנים</v>
          </cell>
          <cell r="C335">
            <v>12500</v>
          </cell>
          <cell r="D335">
            <v>-51888</v>
          </cell>
          <cell r="E335">
            <v>2578.5</v>
          </cell>
          <cell r="F335">
            <v>-49309.5</v>
          </cell>
          <cell r="G335">
            <v>61809.5</v>
          </cell>
          <cell r="H335">
            <v>-394.47</v>
          </cell>
          <cell r="I335">
            <v>15000</v>
          </cell>
          <cell r="J335">
            <v>-51888</v>
          </cell>
        </row>
        <row r="336">
          <cell r="A336">
            <v>1812200740</v>
          </cell>
          <cell r="B336" t="str">
            <v>משחקים וציוד</v>
          </cell>
          <cell r="C336">
            <v>106620</v>
          </cell>
          <cell r="D336">
            <v>16289</v>
          </cell>
          <cell r="E336">
            <v>84981.3</v>
          </cell>
          <cell r="F336">
            <v>101270.3</v>
          </cell>
          <cell r="G336">
            <v>5349.7</v>
          </cell>
          <cell r="H336">
            <v>94.98</v>
          </cell>
          <cell r="I336">
            <v>128000</v>
          </cell>
          <cell r="J336">
            <v>36289</v>
          </cell>
        </row>
        <row r="337">
          <cell r="A337">
            <v>1812200750</v>
          </cell>
          <cell r="B337" t="str">
            <v>עב" קבלניות+חומרים גנים</v>
          </cell>
          <cell r="C337">
            <v>66640</v>
          </cell>
          <cell r="D337">
            <v>16244.37</v>
          </cell>
          <cell r="E337">
            <v>21219</v>
          </cell>
          <cell r="F337">
            <v>37463.370000000003</v>
          </cell>
          <cell r="G337">
            <v>29176.63</v>
          </cell>
          <cell r="H337">
            <v>56.21</v>
          </cell>
          <cell r="I337">
            <v>80000</v>
          </cell>
          <cell r="J337">
            <v>64086.97</v>
          </cell>
        </row>
        <row r="338">
          <cell r="A338">
            <v>1812200810</v>
          </cell>
          <cell r="B338" t="str">
            <v>גננות עובדות מדינה</v>
          </cell>
          <cell r="C338">
            <v>1570210</v>
          </cell>
          <cell r="D338">
            <v>1630984.26</v>
          </cell>
          <cell r="E338">
            <v>0</v>
          </cell>
          <cell r="F338">
            <v>1630984.26</v>
          </cell>
          <cell r="G338">
            <v>-60774.26</v>
          </cell>
          <cell r="H338">
            <v>103.87</v>
          </cell>
          <cell r="I338">
            <v>1885000</v>
          </cell>
          <cell r="J338">
            <v>1630984.26</v>
          </cell>
        </row>
        <row r="339">
          <cell r="A339">
            <v>1812210810</v>
          </cell>
          <cell r="B339" t="str">
            <v>תכנית ניצנים - גנ"י</v>
          </cell>
          <cell r="C339">
            <v>0</v>
          </cell>
          <cell r="D339">
            <v>0</v>
          </cell>
          <cell r="E339">
            <v>4850</v>
          </cell>
          <cell r="F339">
            <v>4850</v>
          </cell>
          <cell r="G339">
            <v>-4850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1813200110</v>
          </cell>
          <cell r="B340" t="str">
            <v>משכורת ושכ"ע שרתים</v>
          </cell>
          <cell r="C340">
            <v>90800</v>
          </cell>
          <cell r="D340">
            <v>90434.66</v>
          </cell>
          <cell r="E340">
            <v>0</v>
          </cell>
          <cell r="F340">
            <v>90434.66</v>
          </cell>
          <cell r="G340">
            <v>365.34</v>
          </cell>
          <cell r="H340">
            <v>99.59</v>
          </cell>
          <cell r="I340">
            <v>109000</v>
          </cell>
          <cell r="J340">
            <v>90434.66</v>
          </cell>
        </row>
        <row r="341">
          <cell r="A341">
            <v>1813200420</v>
          </cell>
          <cell r="B341" t="str">
            <v>אחזקת מבני בי"ס</v>
          </cell>
          <cell r="C341">
            <v>32490</v>
          </cell>
          <cell r="D341">
            <v>4601</v>
          </cell>
          <cell r="E341">
            <v>2215.35</v>
          </cell>
          <cell r="F341">
            <v>6816.35</v>
          </cell>
          <cell r="G341">
            <v>25673.65</v>
          </cell>
          <cell r="H341">
            <v>20.97</v>
          </cell>
          <cell r="I341">
            <v>39000</v>
          </cell>
          <cell r="J341">
            <v>4601</v>
          </cell>
        </row>
        <row r="342">
          <cell r="A342">
            <v>1813200431</v>
          </cell>
          <cell r="B342" t="str">
            <v>חשמל</v>
          </cell>
          <cell r="C342">
            <v>165770</v>
          </cell>
          <cell r="D342">
            <v>95541.68</v>
          </cell>
          <cell r="E342">
            <v>0</v>
          </cell>
          <cell r="F342">
            <v>95541.68</v>
          </cell>
          <cell r="G342">
            <v>70228.320000000007</v>
          </cell>
          <cell r="H342">
            <v>57.63</v>
          </cell>
          <cell r="I342">
            <v>199000</v>
          </cell>
          <cell r="J342">
            <v>95541.68</v>
          </cell>
        </row>
        <row r="343">
          <cell r="A343">
            <v>1813200432</v>
          </cell>
          <cell r="B343" t="str">
            <v>מים</v>
          </cell>
          <cell r="C343">
            <v>62480</v>
          </cell>
          <cell r="D343">
            <v>0</v>
          </cell>
          <cell r="E343">
            <v>0</v>
          </cell>
          <cell r="F343">
            <v>0</v>
          </cell>
          <cell r="G343">
            <v>62480</v>
          </cell>
          <cell r="H343">
            <v>0</v>
          </cell>
          <cell r="I343">
            <v>75000</v>
          </cell>
          <cell r="J343">
            <v>0</v>
          </cell>
        </row>
        <row r="344">
          <cell r="A344">
            <v>1813200433</v>
          </cell>
          <cell r="B344" t="str">
            <v>חומרי ניקיון</v>
          </cell>
          <cell r="C344">
            <v>1670</v>
          </cell>
          <cell r="D344">
            <v>1590</v>
          </cell>
          <cell r="E344">
            <v>0</v>
          </cell>
          <cell r="F344">
            <v>1590</v>
          </cell>
          <cell r="G344">
            <v>80</v>
          </cell>
          <cell r="H344">
            <v>95.2</v>
          </cell>
          <cell r="I344">
            <v>2000</v>
          </cell>
          <cell r="J344">
            <v>1590</v>
          </cell>
        </row>
        <row r="345">
          <cell r="A345">
            <v>1813200440</v>
          </cell>
          <cell r="B345" t="str">
            <v>ביטוחים</v>
          </cell>
          <cell r="C345">
            <v>124950</v>
          </cell>
          <cell r="D345">
            <v>0</v>
          </cell>
          <cell r="E345">
            <v>0</v>
          </cell>
          <cell r="F345">
            <v>0</v>
          </cell>
          <cell r="G345">
            <v>124950</v>
          </cell>
          <cell r="H345">
            <v>0</v>
          </cell>
          <cell r="I345">
            <v>150000</v>
          </cell>
          <cell r="J345">
            <v>0</v>
          </cell>
        </row>
        <row r="346">
          <cell r="A346">
            <v>1813200450</v>
          </cell>
          <cell r="B346" t="str">
            <v>ריהוט ואחזקתו</v>
          </cell>
          <cell r="C346">
            <v>7500</v>
          </cell>
          <cell r="D346">
            <v>0</v>
          </cell>
          <cell r="E346">
            <v>0</v>
          </cell>
          <cell r="F346">
            <v>0</v>
          </cell>
          <cell r="G346">
            <v>7500</v>
          </cell>
          <cell r="H346">
            <v>0</v>
          </cell>
          <cell r="I346">
            <v>9000</v>
          </cell>
          <cell r="J346">
            <v>0</v>
          </cell>
        </row>
        <row r="347">
          <cell r="A347">
            <v>1813200470</v>
          </cell>
          <cell r="B347" t="str">
            <v>ציוד משרדי ומחשבים</v>
          </cell>
          <cell r="C347">
            <v>35820</v>
          </cell>
          <cell r="D347">
            <v>30447</v>
          </cell>
          <cell r="E347">
            <v>12000</v>
          </cell>
          <cell r="F347">
            <v>42447</v>
          </cell>
          <cell r="G347">
            <v>-6627</v>
          </cell>
          <cell r="H347">
            <v>118.5</v>
          </cell>
          <cell r="I347">
            <v>43000</v>
          </cell>
          <cell r="J347">
            <v>30447</v>
          </cell>
        </row>
        <row r="348">
          <cell r="A348">
            <v>1813200540</v>
          </cell>
          <cell r="B348" t="str">
            <v>טלפון</v>
          </cell>
          <cell r="C348">
            <v>17490</v>
          </cell>
          <cell r="D348">
            <v>28950.81</v>
          </cell>
          <cell r="E348">
            <v>0</v>
          </cell>
          <cell r="F348">
            <v>28950.81</v>
          </cell>
          <cell r="G348">
            <v>-11460.81</v>
          </cell>
          <cell r="H348">
            <v>165.52</v>
          </cell>
          <cell r="I348">
            <v>21000</v>
          </cell>
          <cell r="J348">
            <v>28950.81</v>
          </cell>
        </row>
        <row r="349">
          <cell r="A349">
            <v>1813200560</v>
          </cell>
          <cell r="B349" t="str">
            <v>צילומים והדפסות</v>
          </cell>
          <cell r="C349">
            <v>89130</v>
          </cell>
          <cell r="D349">
            <v>17654</v>
          </cell>
          <cell r="E349">
            <v>0</v>
          </cell>
          <cell r="F349">
            <v>17654</v>
          </cell>
          <cell r="G349">
            <v>71476</v>
          </cell>
          <cell r="H349">
            <v>19.8</v>
          </cell>
          <cell r="I349">
            <v>107000</v>
          </cell>
          <cell r="J349">
            <v>17654</v>
          </cell>
        </row>
        <row r="350">
          <cell r="A350">
            <v>1813200720</v>
          </cell>
          <cell r="B350" t="str">
            <v>חומרים- מעבדות בי"ס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1813200750</v>
          </cell>
          <cell r="B351" t="str">
            <v>עבודות קבלניות</v>
          </cell>
          <cell r="C351">
            <v>29160</v>
          </cell>
          <cell r="D351">
            <v>-23246</v>
          </cell>
          <cell r="E351">
            <v>2800</v>
          </cell>
          <cell r="F351">
            <v>-20446</v>
          </cell>
          <cell r="G351">
            <v>49606</v>
          </cell>
          <cell r="H351">
            <v>-70.11</v>
          </cell>
          <cell r="I351">
            <v>35000</v>
          </cell>
          <cell r="J351">
            <v>-23246</v>
          </cell>
        </row>
        <row r="352">
          <cell r="A352">
            <v>1813200930</v>
          </cell>
          <cell r="B352" t="str">
            <v>ציוד יסודי</v>
          </cell>
          <cell r="C352">
            <v>33320</v>
          </cell>
          <cell r="D352">
            <v>0</v>
          </cell>
          <cell r="E352">
            <v>0</v>
          </cell>
          <cell r="F352">
            <v>0</v>
          </cell>
          <cell r="G352">
            <v>33320</v>
          </cell>
          <cell r="H352">
            <v>0</v>
          </cell>
          <cell r="I352">
            <v>40000</v>
          </cell>
          <cell r="J352">
            <v>0</v>
          </cell>
        </row>
        <row r="353">
          <cell r="A353">
            <v>1813210110</v>
          </cell>
          <cell r="B353" t="str">
            <v>מזכירים חינוך</v>
          </cell>
          <cell r="C353">
            <v>289880</v>
          </cell>
          <cell r="D353">
            <v>341853.44</v>
          </cell>
          <cell r="E353">
            <v>0</v>
          </cell>
          <cell r="F353">
            <v>341853.44</v>
          </cell>
          <cell r="G353">
            <v>-51973.440000000002</v>
          </cell>
          <cell r="H353">
            <v>117.92</v>
          </cell>
          <cell r="I353">
            <v>348000</v>
          </cell>
          <cell r="J353">
            <v>341853.44</v>
          </cell>
        </row>
        <row r="354">
          <cell r="A354">
            <v>1813210470</v>
          </cell>
          <cell r="B354" t="str">
            <v>מחשבים לב"ס</v>
          </cell>
          <cell r="C354">
            <v>0</v>
          </cell>
          <cell r="D354">
            <v>200672</v>
          </cell>
          <cell r="E354">
            <v>0</v>
          </cell>
          <cell r="F354">
            <v>200672</v>
          </cell>
          <cell r="G354">
            <v>-200672</v>
          </cell>
          <cell r="H354">
            <v>0</v>
          </cell>
          <cell r="I354">
            <v>0</v>
          </cell>
          <cell r="J354">
            <v>200672</v>
          </cell>
        </row>
        <row r="355">
          <cell r="A355">
            <v>1813210570</v>
          </cell>
          <cell r="B355" t="str">
            <v>ערכאות והדרכות לתלמידים</v>
          </cell>
          <cell r="C355">
            <v>0</v>
          </cell>
          <cell r="D355">
            <v>68150</v>
          </cell>
          <cell r="E355">
            <v>0</v>
          </cell>
          <cell r="F355">
            <v>68150</v>
          </cell>
          <cell r="G355">
            <v>-68150</v>
          </cell>
          <cell r="H355">
            <v>0</v>
          </cell>
          <cell r="I355">
            <v>0</v>
          </cell>
          <cell r="J355">
            <v>68150</v>
          </cell>
        </row>
        <row r="356">
          <cell r="A356">
            <v>1813210750</v>
          </cell>
          <cell r="B356" t="str">
            <v>שיפוצים ביתי ספר</v>
          </cell>
          <cell r="C356">
            <v>0</v>
          </cell>
          <cell r="D356">
            <v>33497</v>
          </cell>
          <cell r="E356">
            <v>0</v>
          </cell>
          <cell r="F356">
            <v>33497</v>
          </cell>
          <cell r="G356">
            <v>-33497</v>
          </cell>
          <cell r="H356">
            <v>0</v>
          </cell>
          <cell r="I356">
            <v>0</v>
          </cell>
          <cell r="J356">
            <v>33497</v>
          </cell>
        </row>
        <row r="357">
          <cell r="A357">
            <v>1813220110</v>
          </cell>
          <cell r="B357" t="str">
            <v>אחזקה ותקונים ביתי"ס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>
            <v>1813300110</v>
          </cell>
          <cell r="B358" t="str">
            <v>סייעות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1813300430</v>
          </cell>
          <cell r="B359" t="str">
            <v>ניהול עצמי משופר</v>
          </cell>
          <cell r="C359">
            <v>0</v>
          </cell>
          <cell r="D359">
            <v>130638</v>
          </cell>
          <cell r="E359">
            <v>0</v>
          </cell>
          <cell r="F359">
            <v>130638</v>
          </cell>
          <cell r="G359">
            <v>-130638</v>
          </cell>
          <cell r="H359">
            <v>0</v>
          </cell>
          <cell r="I359">
            <v>0</v>
          </cell>
          <cell r="J359">
            <v>130638</v>
          </cell>
        </row>
        <row r="360">
          <cell r="A360">
            <v>1813300780</v>
          </cell>
          <cell r="B360" t="str">
            <v>חינוך מיוחד</v>
          </cell>
          <cell r="C360">
            <v>10000</v>
          </cell>
          <cell r="D360">
            <v>0</v>
          </cell>
          <cell r="E360">
            <v>5300</v>
          </cell>
          <cell r="F360">
            <v>5300</v>
          </cell>
          <cell r="G360">
            <v>4700</v>
          </cell>
          <cell r="H360">
            <v>53</v>
          </cell>
          <cell r="I360">
            <v>12000</v>
          </cell>
          <cell r="J360">
            <v>0</v>
          </cell>
        </row>
        <row r="361">
          <cell r="A361">
            <v>1813300810</v>
          </cell>
          <cell r="B361" t="str">
            <v>אגרת תלמיד חוץ</v>
          </cell>
          <cell r="C361">
            <v>334030</v>
          </cell>
          <cell r="D361">
            <v>588039</v>
          </cell>
          <cell r="E361">
            <v>0</v>
          </cell>
          <cell r="F361">
            <v>588039</v>
          </cell>
          <cell r="G361">
            <v>-254009</v>
          </cell>
          <cell r="H361">
            <v>176.04</v>
          </cell>
          <cell r="I361">
            <v>401000</v>
          </cell>
          <cell r="J361">
            <v>588039</v>
          </cell>
        </row>
        <row r="362">
          <cell r="A362">
            <v>1813400430</v>
          </cell>
          <cell r="B362" t="str">
            <v>ניהול עצמי אלשאפיעי</v>
          </cell>
          <cell r="C362">
            <v>0</v>
          </cell>
          <cell r="D362">
            <v>61899</v>
          </cell>
          <cell r="E362">
            <v>0</v>
          </cell>
          <cell r="F362">
            <v>61899</v>
          </cell>
          <cell r="G362">
            <v>-61899</v>
          </cell>
          <cell r="H362">
            <v>0</v>
          </cell>
          <cell r="I362">
            <v>0</v>
          </cell>
          <cell r="J362">
            <v>122907</v>
          </cell>
        </row>
        <row r="363">
          <cell r="A363">
            <v>1813500430</v>
          </cell>
          <cell r="B363" t="str">
            <v>ניהול עצמי אלפארוק</v>
          </cell>
          <cell r="C363">
            <v>0</v>
          </cell>
          <cell r="D363">
            <v>62945</v>
          </cell>
          <cell r="E363">
            <v>0</v>
          </cell>
          <cell r="F363">
            <v>62945</v>
          </cell>
          <cell r="G363">
            <v>-62945</v>
          </cell>
          <cell r="H363">
            <v>0</v>
          </cell>
          <cell r="I363">
            <v>0</v>
          </cell>
          <cell r="J363">
            <v>131387</v>
          </cell>
        </row>
        <row r="364">
          <cell r="A364">
            <v>1813560043</v>
          </cell>
          <cell r="B364" t="str">
            <v>ניהול עצמי אל- סדיק</v>
          </cell>
          <cell r="C364">
            <v>0</v>
          </cell>
          <cell r="D364">
            <v>42932</v>
          </cell>
          <cell r="E364">
            <v>0</v>
          </cell>
          <cell r="F364">
            <v>42932</v>
          </cell>
          <cell r="G364">
            <v>-42932</v>
          </cell>
          <cell r="H364">
            <v>0</v>
          </cell>
          <cell r="I364">
            <v>0</v>
          </cell>
          <cell r="J364">
            <v>83714</v>
          </cell>
        </row>
        <row r="365">
          <cell r="A365">
            <v>1813600110</v>
          </cell>
          <cell r="B365" t="str">
            <v>הוצ" משכורת-דוברת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A366">
            <v>1813600750</v>
          </cell>
          <cell r="B366" t="str">
            <v>תוכנית דוברת-הפעלה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A367">
            <v>1813600810</v>
          </cell>
          <cell r="B367" t="str">
            <v>דוברת הסעות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1813620810</v>
          </cell>
          <cell r="B368" t="str">
            <v>השתת" בעליות טיולים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1813800110</v>
          </cell>
          <cell r="B369" t="str">
            <v>קייטנה זמניים</v>
          </cell>
          <cell r="C369">
            <v>0</v>
          </cell>
          <cell r="D369">
            <v>158994.47</v>
          </cell>
          <cell r="E369">
            <v>0</v>
          </cell>
          <cell r="F369">
            <v>158994.47</v>
          </cell>
          <cell r="G369">
            <v>-158994.47</v>
          </cell>
          <cell r="H369">
            <v>0</v>
          </cell>
          <cell r="I369">
            <v>0</v>
          </cell>
          <cell r="J369">
            <v>158994.47</v>
          </cell>
        </row>
        <row r="370">
          <cell r="A370">
            <v>1815100110</v>
          </cell>
          <cell r="B370" t="str">
            <v>משכורת בי"ס על יסודיים</v>
          </cell>
          <cell r="C370">
            <v>624750</v>
          </cell>
          <cell r="D370">
            <v>639626.09</v>
          </cell>
          <cell r="E370">
            <v>0</v>
          </cell>
          <cell r="F370">
            <v>639626.09</v>
          </cell>
          <cell r="G370">
            <v>-14876.09</v>
          </cell>
          <cell r="H370">
            <v>102.38</v>
          </cell>
          <cell r="I370">
            <v>750000</v>
          </cell>
          <cell r="J370">
            <v>639626.09</v>
          </cell>
        </row>
        <row r="371">
          <cell r="A371">
            <v>1815200320</v>
          </cell>
          <cell r="B371" t="str">
            <v>הוצ" פיצויים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1815200420</v>
          </cell>
          <cell r="B372" t="str">
            <v>אחזקת מבנים</v>
          </cell>
          <cell r="C372">
            <v>39150</v>
          </cell>
          <cell r="D372">
            <v>25043</v>
          </cell>
          <cell r="E372">
            <v>3296.5</v>
          </cell>
          <cell r="F372">
            <v>28339.5</v>
          </cell>
          <cell r="G372">
            <v>10810.5</v>
          </cell>
          <cell r="H372">
            <v>72.38</v>
          </cell>
          <cell r="I372">
            <v>47000</v>
          </cell>
          <cell r="J372">
            <v>25043</v>
          </cell>
        </row>
        <row r="373">
          <cell r="A373">
            <v>1815200425</v>
          </cell>
          <cell r="B373" t="str">
            <v>פינות פרטניות עוז לתמורה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A374">
            <v>1815200431</v>
          </cell>
          <cell r="B374" t="str">
            <v>חשמל</v>
          </cell>
          <cell r="C374">
            <v>107460</v>
          </cell>
          <cell r="D374">
            <v>124393.86</v>
          </cell>
          <cell r="E374">
            <v>0</v>
          </cell>
          <cell r="F374">
            <v>124393.86</v>
          </cell>
          <cell r="G374">
            <v>-16933.86</v>
          </cell>
          <cell r="H374">
            <v>115.75</v>
          </cell>
          <cell r="I374">
            <v>129000</v>
          </cell>
          <cell r="J374">
            <v>160477.13</v>
          </cell>
        </row>
        <row r="375">
          <cell r="A375">
            <v>1815200432</v>
          </cell>
          <cell r="B375" t="str">
            <v>מים</v>
          </cell>
          <cell r="C375">
            <v>45820</v>
          </cell>
          <cell r="D375">
            <v>0</v>
          </cell>
          <cell r="E375">
            <v>0</v>
          </cell>
          <cell r="F375">
            <v>0</v>
          </cell>
          <cell r="G375">
            <v>45820</v>
          </cell>
          <cell r="H375">
            <v>0</v>
          </cell>
          <cell r="I375">
            <v>55000</v>
          </cell>
          <cell r="J375">
            <v>0</v>
          </cell>
        </row>
        <row r="376">
          <cell r="A376">
            <v>1815200433</v>
          </cell>
          <cell r="B376" t="str">
            <v>חומרי נקיון</v>
          </cell>
          <cell r="C376">
            <v>23320</v>
          </cell>
          <cell r="D376">
            <v>21534</v>
          </cell>
          <cell r="E376">
            <v>894</v>
          </cell>
          <cell r="F376">
            <v>22428</v>
          </cell>
          <cell r="G376">
            <v>892</v>
          </cell>
          <cell r="H376">
            <v>96.17</v>
          </cell>
          <cell r="I376">
            <v>28000</v>
          </cell>
          <cell r="J376">
            <v>21534</v>
          </cell>
        </row>
        <row r="377">
          <cell r="A377">
            <v>1815200440</v>
          </cell>
          <cell r="B377" t="str">
            <v>ביטוחים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78">
          <cell r="A378">
            <v>1815200450</v>
          </cell>
          <cell r="B378" t="str">
            <v>ריהוט ואחזקתו</v>
          </cell>
          <cell r="C378">
            <v>10000</v>
          </cell>
          <cell r="D378">
            <v>2138.36</v>
          </cell>
          <cell r="E378">
            <v>6973.2</v>
          </cell>
          <cell r="F378">
            <v>9111.56</v>
          </cell>
          <cell r="G378">
            <v>888.44</v>
          </cell>
          <cell r="H378">
            <v>91.11</v>
          </cell>
          <cell r="I378">
            <v>12000</v>
          </cell>
          <cell r="J378">
            <v>6403.01</v>
          </cell>
        </row>
        <row r="379">
          <cell r="A379">
            <v>1815200470</v>
          </cell>
          <cell r="B379" t="str">
            <v>ציוד משרדי</v>
          </cell>
          <cell r="C379">
            <v>30820</v>
          </cell>
          <cell r="D379">
            <v>71539</v>
          </cell>
          <cell r="E379">
            <v>57116</v>
          </cell>
          <cell r="F379">
            <v>128655</v>
          </cell>
          <cell r="G379">
            <v>-97835</v>
          </cell>
          <cell r="H379">
            <v>417.43</v>
          </cell>
          <cell r="I379">
            <v>37000</v>
          </cell>
          <cell r="J379">
            <v>71539</v>
          </cell>
        </row>
        <row r="380">
          <cell r="A380">
            <v>1815200510</v>
          </cell>
          <cell r="B380" t="str">
            <v>דמי שתיה ועד עובדים</v>
          </cell>
          <cell r="C380">
            <v>8330</v>
          </cell>
          <cell r="D380">
            <v>0</v>
          </cell>
          <cell r="E380">
            <v>6257</v>
          </cell>
          <cell r="F380">
            <v>6257</v>
          </cell>
          <cell r="G380">
            <v>2073</v>
          </cell>
          <cell r="H380">
            <v>75.11</v>
          </cell>
          <cell r="I380">
            <v>10000</v>
          </cell>
          <cell r="J380">
            <v>0</v>
          </cell>
        </row>
        <row r="381">
          <cell r="A381">
            <v>1815200522</v>
          </cell>
          <cell r="B381" t="str">
            <v>ספרות מקצועית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A382">
            <v>1815200540</v>
          </cell>
          <cell r="B382" t="str">
            <v>טלפון</v>
          </cell>
          <cell r="C382">
            <v>17490</v>
          </cell>
          <cell r="D382">
            <v>0</v>
          </cell>
          <cell r="E382">
            <v>0</v>
          </cell>
          <cell r="F382">
            <v>0</v>
          </cell>
          <cell r="G382">
            <v>17490</v>
          </cell>
          <cell r="H382">
            <v>0</v>
          </cell>
          <cell r="I382">
            <v>21000</v>
          </cell>
          <cell r="J382">
            <v>0</v>
          </cell>
        </row>
        <row r="383">
          <cell r="A383">
            <v>1815200560</v>
          </cell>
          <cell r="B383" t="str">
            <v>צילומים והדפסות</v>
          </cell>
          <cell r="C383">
            <v>66640</v>
          </cell>
          <cell r="D383">
            <v>36083</v>
          </cell>
          <cell r="E383">
            <v>32105.360000000001</v>
          </cell>
          <cell r="F383">
            <v>68188.36</v>
          </cell>
          <cell r="G383">
            <v>-1548.36</v>
          </cell>
          <cell r="H383">
            <v>102.32</v>
          </cell>
          <cell r="I383">
            <v>80000</v>
          </cell>
          <cell r="J383">
            <v>48352</v>
          </cell>
        </row>
        <row r="384">
          <cell r="A384">
            <v>1815200570</v>
          </cell>
          <cell r="B384" t="str">
            <v>אומניות העיצוב</v>
          </cell>
          <cell r="C384">
            <v>25820</v>
          </cell>
          <cell r="D384">
            <v>15210</v>
          </cell>
          <cell r="E384">
            <v>0</v>
          </cell>
          <cell r="F384">
            <v>15210</v>
          </cell>
          <cell r="G384">
            <v>10610</v>
          </cell>
          <cell r="H384">
            <v>58.9</v>
          </cell>
          <cell r="I384">
            <v>31000</v>
          </cell>
          <cell r="J384">
            <v>15210</v>
          </cell>
        </row>
        <row r="385">
          <cell r="A385">
            <v>1815200580</v>
          </cell>
          <cell r="B385" t="str">
            <v>פרוייקט תעשיה ומדע</v>
          </cell>
          <cell r="C385">
            <v>55810</v>
          </cell>
          <cell r="D385">
            <v>77850</v>
          </cell>
          <cell r="E385">
            <v>0</v>
          </cell>
          <cell r="F385">
            <v>77850</v>
          </cell>
          <cell r="G385">
            <v>-22040</v>
          </cell>
          <cell r="H385">
            <v>139.49</v>
          </cell>
          <cell r="I385">
            <v>67000</v>
          </cell>
          <cell r="J385">
            <v>77850</v>
          </cell>
        </row>
        <row r="386">
          <cell r="A386">
            <v>1815200650</v>
          </cell>
          <cell r="B386" t="str">
            <v>פרוייקטים קהילתיים</v>
          </cell>
          <cell r="C386">
            <v>0</v>
          </cell>
          <cell r="D386">
            <v>0</v>
          </cell>
          <cell r="E386">
            <v>22987</v>
          </cell>
          <cell r="F386">
            <v>22987</v>
          </cell>
          <cell r="G386">
            <v>-22987</v>
          </cell>
          <cell r="H386">
            <v>0</v>
          </cell>
          <cell r="I386">
            <v>0</v>
          </cell>
          <cell r="J386">
            <v>0</v>
          </cell>
        </row>
        <row r="387">
          <cell r="A387">
            <v>1815200720</v>
          </cell>
          <cell r="B387" t="str">
            <v>מעבדות טכנולגיות</v>
          </cell>
          <cell r="C387">
            <v>0</v>
          </cell>
          <cell r="D387">
            <v>48933</v>
          </cell>
          <cell r="E387">
            <v>80456.350000000006</v>
          </cell>
          <cell r="F387">
            <v>129389.35</v>
          </cell>
          <cell r="G387">
            <v>-129389.35</v>
          </cell>
          <cell r="H387">
            <v>0</v>
          </cell>
          <cell r="I387">
            <v>0</v>
          </cell>
          <cell r="J387">
            <v>48933</v>
          </cell>
        </row>
        <row r="388">
          <cell r="A388">
            <v>1815200730</v>
          </cell>
          <cell r="B388" t="str">
            <v>מעבדת מכטרוניקה</v>
          </cell>
          <cell r="C388">
            <v>0</v>
          </cell>
          <cell r="D388">
            <v>41919.9</v>
          </cell>
          <cell r="E388">
            <v>53060.09</v>
          </cell>
          <cell r="F388">
            <v>94979.99</v>
          </cell>
          <cell r="G388">
            <v>-94979.99</v>
          </cell>
          <cell r="H388">
            <v>0</v>
          </cell>
          <cell r="I388">
            <v>0</v>
          </cell>
          <cell r="J388">
            <v>41919.9</v>
          </cell>
        </row>
        <row r="389">
          <cell r="A389">
            <v>1815200750</v>
          </cell>
          <cell r="B389" t="str">
            <v>שפוצים בי"ס ובטיחות</v>
          </cell>
          <cell r="C389">
            <v>73300</v>
          </cell>
          <cell r="D389">
            <v>0</v>
          </cell>
          <cell r="E389">
            <v>1600</v>
          </cell>
          <cell r="F389">
            <v>1600</v>
          </cell>
          <cell r="G389">
            <v>71700</v>
          </cell>
          <cell r="H389">
            <v>2.1800000000000002</v>
          </cell>
          <cell r="I389">
            <v>88000</v>
          </cell>
          <cell r="J389">
            <v>0</v>
          </cell>
        </row>
        <row r="390">
          <cell r="A390">
            <v>1815200780</v>
          </cell>
          <cell r="B390" t="str">
            <v>הסעות ושונות</v>
          </cell>
          <cell r="C390">
            <v>10000</v>
          </cell>
          <cell r="D390">
            <v>13982</v>
          </cell>
          <cell r="E390">
            <v>1600</v>
          </cell>
          <cell r="F390">
            <v>15582</v>
          </cell>
          <cell r="G390">
            <v>-5582</v>
          </cell>
          <cell r="H390">
            <v>155.82</v>
          </cell>
          <cell r="I390">
            <v>12000</v>
          </cell>
          <cell r="J390">
            <v>13982</v>
          </cell>
        </row>
        <row r="391">
          <cell r="A391">
            <v>1815200790</v>
          </cell>
          <cell r="B391" t="str">
            <v>תוכנית הדו"מ -הדרכת הורים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1815200800</v>
          </cell>
          <cell r="B392" t="str">
            <v>הרצאות ופעולות תרבות</v>
          </cell>
          <cell r="C392">
            <v>0</v>
          </cell>
          <cell r="D392">
            <v>19040</v>
          </cell>
          <cell r="E392">
            <v>0</v>
          </cell>
          <cell r="F392">
            <v>19040</v>
          </cell>
          <cell r="G392">
            <v>-19040</v>
          </cell>
          <cell r="H392">
            <v>0</v>
          </cell>
          <cell r="I392">
            <v>0</v>
          </cell>
          <cell r="J392">
            <v>19040</v>
          </cell>
        </row>
        <row r="393">
          <cell r="A393">
            <v>1815200810</v>
          </cell>
          <cell r="B393" t="str">
            <v>מניעת שימוש בסמים</v>
          </cell>
          <cell r="C393">
            <v>4170</v>
          </cell>
          <cell r="D393">
            <v>5500</v>
          </cell>
          <cell r="E393">
            <v>0</v>
          </cell>
          <cell r="F393">
            <v>5500</v>
          </cell>
          <cell r="G393">
            <v>-1330</v>
          </cell>
          <cell r="H393">
            <v>131.88999999999999</v>
          </cell>
          <cell r="I393">
            <v>5000</v>
          </cell>
          <cell r="J393">
            <v>5500</v>
          </cell>
        </row>
        <row r="394">
          <cell r="A394">
            <v>1815200850</v>
          </cell>
          <cell r="B394" t="str">
            <v>קשרים בינלאומיים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1815200930</v>
          </cell>
          <cell r="B395" t="str">
            <v>ציוד יסודי</v>
          </cell>
          <cell r="C395">
            <v>3330</v>
          </cell>
          <cell r="D395">
            <v>0</v>
          </cell>
          <cell r="E395">
            <v>0</v>
          </cell>
          <cell r="F395">
            <v>0</v>
          </cell>
          <cell r="G395">
            <v>3330</v>
          </cell>
          <cell r="H395">
            <v>0</v>
          </cell>
          <cell r="I395">
            <v>4000</v>
          </cell>
          <cell r="J395">
            <v>0</v>
          </cell>
        </row>
        <row r="396">
          <cell r="A396">
            <v>1815210580</v>
          </cell>
          <cell r="B396" t="str">
            <v>מחשב לכל ילד</v>
          </cell>
          <cell r="C396">
            <v>4170</v>
          </cell>
          <cell r="D396">
            <v>0</v>
          </cell>
          <cell r="E396">
            <v>0</v>
          </cell>
          <cell r="F396">
            <v>0</v>
          </cell>
          <cell r="G396">
            <v>4170</v>
          </cell>
          <cell r="H396">
            <v>0</v>
          </cell>
          <cell r="I396">
            <v>5000</v>
          </cell>
          <cell r="J396">
            <v>0</v>
          </cell>
        </row>
        <row r="397">
          <cell r="A397">
            <v>1815210720</v>
          </cell>
          <cell r="B397" t="str">
            <v>מעבדה</v>
          </cell>
          <cell r="C397">
            <v>0</v>
          </cell>
          <cell r="D397">
            <v>1600</v>
          </cell>
          <cell r="E397">
            <v>1200</v>
          </cell>
          <cell r="F397">
            <v>2800</v>
          </cell>
          <cell r="G397">
            <v>-2800</v>
          </cell>
          <cell r="H397">
            <v>0</v>
          </cell>
          <cell r="I397">
            <v>0</v>
          </cell>
          <cell r="J397">
            <v>1600</v>
          </cell>
        </row>
        <row r="398">
          <cell r="A398">
            <v>1815210930</v>
          </cell>
          <cell r="B398" t="str">
            <v>ציוד חדר טכנולוגיה</v>
          </cell>
          <cell r="C398">
            <v>13330</v>
          </cell>
          <cell r="D398">
            <v>0</v>
          </cell>
          <cell r="E398">
            <v>8127.05</v>
          </cell>
          <cell r="F398">
            <v>8127.05</v>
          </cell>
          <cell r="G398">
            <v>5202.95</v>
          </cell>
          <cell r="H398">
            <v>60.96</v>
          </cell>
          <cell r="I398">
            <v>16000</v>
          </cell>
          <cell r="J398">
            <v>0</v>
          </cell>
        </row>
        <row r="399">
          <cell r="A399">
            <v>1815211930</v>
          </cell>
          <cell r="B399" t="str">
            <v>הוצאות תחזוקה והפעלה של מעבדות</v>
          </cell>
          <cell r="C399">
            <v>0</v>
          </cell>
          <cell r="D399">
            <v>0</v>
          </cell>
          <cell r="E399">
            <v>3490</v>
          </cell>
          <cell r="F399">
            <v>3490</v>
          </cell>
          <cell r="G399">
            <v>-3490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1815212930</v>
          </cell>
          <cell r="B400" t="str">
            <v>הוצאות פעולות תרבות וחברה תיכו</v>
          </cell>
          <cell r="C400">
            <v>0</v>
          </cell>
          <cell r="D400">
            <v>2106</v>
          </cell>
          <cell r="E400">
            <v>1600</v>
          </cell>
          <cell r="F400">
            <v>3706</v>
          </cell>
          <cell r="G400">
            <v>-3706</v>
          </cell>
          <cell r="H400">
            <v>0</v>
          </cell>
          <cell r="I400">
            <v>0</v>
          </cell>
          <cell r="J400">
            <v>2106</v>
          </cell>
        </row>
        <row r="401">
          <cell r="A401">
            <v>1815300431</v>
          </cell>
          <cell r="B401" t="str">
            <v>חשמל מקיף גבעה</v>
          </cell>
          <cell r="C401">
            <v>61640</v>
          </cell>
          <cell r="D401">
            <v>73944.759999999995</v>
          </cell>
          <cell r="E401">
            <v>0</v>
          </cell>
          <cell r="F401">
            <v>73944.759999999995</v>
          </cell>
          <cell r="G401">
            <v>-12304.76</v>
          </cell>
          <cell r="H401">
            <v>119.96</v>
          </cell>
          <cell r="I401">
            <v>74000</v>
          </cell>
          <cell r="J401">
            <v>73944.759999999995</v>
          </cell>
        </row>
        <row r="402">
          <cell r="A402">
            <v>1815700110</v>
          </cell>
          <cell r="B402" t="str">
            <v>משכורת מקיף פרדיס</v>
          </cell>
          <cell r="C402">
            <v>8051780</v>
          </cell>
          <cell r="D402">
            <v>7577252.8799999999</v>
          </cell>
          <cell r="E402">
            <v>0</v>
          </cell>
          <cell r="F402">
            <v>7577252.8799999999</v>
          </cell>
          <cell r="G402">
            <v>474527.12</v>
          </cell>
          <cell r="H402">
            <v>94.1</v>
          </cell>
          <cell r="I402">
            <v>9666000</v>
          </cell>
          <cell r="J402">
            <v>7577252.8799999999</v>
          </cell>
        </row>
        <row r="403">
          <cell r="A403">
            <v>1815700312</v>
          </cell>
          <cell r="B403" t="str">
            <v>ע"ח מבטחים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4">
          <cell r="A404">
            <v>1815710432</v>
          </cell>
          <cell r="B404" t="str">
            <v>מטרות  ציל"ה</v>
          </cell>
          <cell r="C404">
            <v>0</v>
          </cell>
          <cell r="D404">
            <v>440000</v>
          </cell>
          <cell r="E404">
            <v>0</v>
          </cell>
          <cell r="F404">
            <v>440000</v>
          </cell>
          <cell r="G404">
            <v>-440000</v>
          </cell>
          <cell r="H404">
            <v>0</v>
          </cell>
          <cell r="I404">
            <v>0</v>
          </cell>
          <cell r="J404">
            <v>440000</v>
          </cell>
        </row>
        <row r="405">
          <cell r="A405">
            <v>1815710810</v>
          </cell>
          <cell r="B405" t="str">
            <v>סייעות ציל"ה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1815800110</v>
          </cell>
          <cell r="B406" t="str">
            <v>משכורת תיכון גבעה חדש</v>
          </cell>
          <cell r="C406">
            <v>2700590</v>
          </cell>
          <cell r="D406">
            <v>4232146.43</v>
          </cell>
          <cell r="E406">
            <v>0</v>
          </cell>
          <cell r="F406">
            <v>4232146.43</v>
          </cell>
          <cell r="G406">
            <v>-1531556.43</v>
          </cell>
          <cell r="H406">
            <v>156.71</v>
          </cell>
          <cell r="I406">
            <v>3242000</v>
          </cell>
          <cell r="J406">
            <v>4232146.43</v>
          </cell>
        </row>
        <row r="407">
          <cell r="A407">
            <v>1817000110</v>
          </cell>
          <cell r="B407" t="str">
            <v>הוצ משכורת</v>
          </cell>
          <cell r="C407">
            <v>1137050</v>
          </cell>
          <cell r="D407">
            <v>1280309.97</v>
          </cell>
          <cell r="E407">
            <v>0</v>
          </cell>
          <cell r="F407">
            <v>1280309.97</v>
          </cell>
          <cell r="G407">
            <v>-143259.97</v>
          </cell>
          <cell r="H407">
            <v>112.59</v>
          </cell>
          <cell r="I407">
            <v>1365000</v>
          </cell>
          <cell r="J407">
            <v>1280309.97</v>
          </cell>
        </row>
        <row r="408">
          <cell r="A408">
            <v>1817000460</v>
          </cell>
          <cell r="B408" t="str">
            <v>ריהוט וציוד לחינוך מיוחד</v>
          </cell>
          <cell r="C408">
            <v>4170</v>
          </cell>
          <cell r="D408">
            <v>1501</v>
          </cell>
          <cell r="E408">
            <v>4972.67</v>
          </cell>
          <cell r="F408">
            <v>6473.67</v>
          </cell>
          <cell r="G408">
            <v>-2303.67</v>
          </cell>
          <cell r="H408">
            <v>155.24</v>
          </cell>
          <cell r="I408">
            <v>5000</v>
          </cell>
          <cell r="J408">
            <v>4001</v>
          </cell>
        </row>
        <row r="409">
          <cell r="A409">
            <v>1817000470</v>
          </cell>
          <cell r="B409" t="str">
            <v>ציוד משרדי ומשחקים</v>
          </cell>
          <cell r="C409">
            <v>7500</v>
          </cell>
          <cell r="D409">
            <v>127</v>
          </cell>
          <cell r="E409">
            <v>6100</v>
          </cell>
          <cell r="F409">
            <v>6227</v>
          </cell>
          <cell r="G409">
            <v>1273</v>
          </cell>
          <cell r="H409">
            <v>83.02</v>
          </cell>
          <cell r="I409">
            <v>9000</v>
          </cell>
          <cell r="J409">
            <v>127</v>
          </cell>
        </row>
        <row r="410">
          <cell r="A410">
            <v>1817100750</v>
          </cell>
          <cell r="B410" t="str">
            <v>שמירה ובטחון מוסדות חינוך</v>
          </cell>
          <cell r="C410">
            <v>882980</v>
          </cell>
          <cell r="D410">
            <v>547539.55000000005</v>
          </cell>
          <cell r="E410">
            <v>5749.92</v>
          </cell>
          <cell r="F410">
            <v>553289.47</v>
          </cell>
          <cell r="G410">
            <v>329690.53000000003</v>
          </cell>
          <cell r="H410">
            <v>62.66</v>
          </cell>
          <cell r="I410">
            <v>1060000</v>
          </cell>
          <cell r="J410">
            <v>568055.5</v>
          </cell>
        </row>
        <row r="411">
          <cell r="A411">
            <v>1817300110</v>
          </cell>
          <cell r="B411" t="str">
            <v>משכורות</v>
          </cell>
          <cell r="C411">
            <v>608090</v>
          </cell>
          <cell r="D411">
            <v>527083.56000000006</v>
          </cell>
          <cell r="E411">
            <v>0</v>
          </cell>
          <cell r="F411">
            <v>527083.56000000006</v>
          </cell>
          <cell r="G411">
            <v>81006.44</v>
          </cell>
          <cell r="H411">
            <v>86.67</v>
          </cell>
          <cell r="I411">
            <v>730000</v>
          </cell>
          <cell r="J411">
            <v>527083.56000000006</v>
          </cell>
        </row>
        <row r="412">
          <cell r="A412">
            <v>1817300410</v>
          </cell>
          <cell r="B412" t="str">
            <v>שכ"ד פסיכולוגי</v>
          </cell>
          <cell r="C412">
            <v>19990</v>
          </cell>
          <cell r="D412">
            <v>24000</v>
          </cell>
          <cell r="E412">
            <v>0</v>
          </cell>
          <cell r="F412">
            <v>24000</v>
          </cell>
          <cell r="G412">
            <v>-4010</v>
          </cell>
          <cell r="H412">
            <v>120.06</v>
          </cell>
          <cell r="I412">
            <v>24000</v>
          </cell>
          <cell r="J412">
            <v>24000</v>
          </cell>
        </row>
        <row r="413">
          <cell r="A413">
            <v>1817300540</v>
          </cell>
          <cell r="B413" t="str">
            <v>טלפון פסיכולוגים</v>
          </cell>
          <cell r="C413">
            <v>0</v>
          </cell>
          <cell r="D413">
            <v>7472.62</v>
          </cell>
          <cell r="E413">
            <v>0</v>
          </cell>
          <cell r="F413">
            <v>7472.62</v>
          </cell>
          <cell r="G413">
            <v>-7472.62</v>
          </cell>
          <cell r="H413">
            <v>0</v>
          </cell>
          <cell r="I413">
            <v>0</v>
          </cell>
          <cell r="J413">
            <v>7472.62</v>
          </cell>
        </row>
        <row r="414">
          <cell r="A414">
            <v>1817300750</v>
          </cell>
          <cell r="B414" t="str">
            <v>שירות פסעכולוגי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>
            <v>1817300810</v>
          </cell>
          <cell r="B415" t="str">
            <v>שרות פסיכולוגי השת</v>
          </cell>
          <cell r="C415">
            <v>59140</v>
          </cell>
          <cell r="D415">
            <v>16800</v>
          </cell>
          <cell r="E415">
            <v>2843.1</v>
          </cell>
          <cell r="F415">
            <v>19643.099999999999</v>
          </cell>
          <cell r="G415">
            <v>39496.9</v>
          </cell>
          <cell r="H415">
            <v>33.21</v>
          </cell>
          <cell r="I415">
            <v>71000</v>
          </cell>
          <cell r="J415">
            <v>16800</v>
          </cell>
        </row>
        <row r="416">
          <cell r="A416">
            <v>1817400720</v>
          </cell>
          <cell r="B416" t="str">
            <v>חומרים מרפאת שניים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1817410110</v>
          </cell>
          <cell r="B417" t="str">
            <v>שרותי בריאות בי:ס שניים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>
            <v>1817700110</v>
          </cell>
          <cell r="B418" t="str">
            <v>משכורת    כוללת</v>
          </cell>
          <cell r="C418">
            <v>249070</v>
          </cell>
          <cell r="D418">
            <v>167643.94</v>
          </cell>
          <cell r="E418">
            <v>0</v>
          </cell>
          <cell r="F418">
            <v>167643.94</v>
          </cell>
          <cell r="G418">
            <v>81426.06</v>
          </cell>
          <cell r="H418">
            <v>67.3</v>
          </cell>
          <cell r="I418">
            <v>299000</v>
          </cell>
          <cell r="J418">
            <v>167643.94</v>
          </cell>
        </row>
        <row r="419">
          <cell r="A419">
            <v>1817700810</v>
          </cell>
          <cell r="B419" t="str">
            <v>פר"ח</v>
          </cell>
          <cell r="C419">
            <v>26660</v>
          </cell>
          <cell r="D419">
            <v>24800</v>
          </cell>
          <cell r="E419">
            <v>7545</v>
          </cell>
          <cell r="F419">
            <v>32345</v>
          </cell>
          <cell r="G419">
            <v>-5685</v>
          </cell>
          <cell r="H419">
            <v>121.32</v>
          </cell>
          <cell r="I419">
            <v>32000</v>
          </cell>
          <cell r="J419">
            <v>24800</v>
          </cell>
        </row>
        <row r="420">
          <cell r="A420">
            <v>1817710750</v>
          </cell>
          <cell r="B420" t="str">
            <v>מנ"ע -  מניעת נשירה מבי"ס</v>
          </cell>
          <cell r="C420">
            <v>0</v>
          </cell>
          <cell r="D420">
            <v>8951</v>
          </cell>
          <cell r="E420">
            <v>29800</v>
          </cell>
          <cell r="F420">
            <v>38751</v>
          </cell>
          <cell r="G420">
            <v>-38751</v>
          </cell>
          <cell r="H420">
            <v>0</v>
          </cell>
          <cell r="I420">
            <v>0</v>
          </cell>
          <cell r="J420">
            <v>8951</v>
          </cell>
        </row>
        <row r="421">
          <cell r="A421">
            <v>1817720920</v>
          </cell>
          <cell r="B421" t="str">
            <v>מילוי מקום מוסדות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>
            <v>1817800710</v>
          </cell>
          <cell r="B422" t="str">
            <v>הסעות-חיונוך מיוחד</v>
          </cell>
          <cell r="C422">
            <v>1327800</v>
          </cell>
          <cell r="D422">
            <v>1257856.3400000001</v>
          </cell>
          <cell r="E422">
            <v>6200</v>
          </cell>
          <cell r="F422">
            <v>1264056.3400000001</v>
          </cell>
          <cell r="G422">
            <v>63743.66</v>
          </cell>
          <cell r="H422">
            <v>95.19</v>
          </cell>
          <cell r="I422">
            <v>1594000</v>
          </cell>
          <cell r="J422">
            <v>1257856.3400000001</v>
          </cell>
        </row>
        <row r="423">
          <cell r="A423">
            <v>1817800711</v>
          </cell>
          <cell r="B423" t="str">
            <v>ליווי חינוך מיוחד</v>
          </cell>
          <cell r="C423">
            <v>173260</v>
          </cell>
          <cell r="D423">
            <v>0</v>
          </cell>
          <cell r="E423">
            <v>0</v>
          </cell>
          <cell r="F423">
            <v>0</v>
          </cell>
          <cell r="G423">
            <v>173260</v>
          </cell>
          <cell r="H423">
            <v>0</v>
          </cell>
          <cell r="I423">
            <v>208000</v>
          </cell>
          <cell r="J423">
            <v>0</v>
          </cell>
        </row>
        <row r="424">
          <cell r="A424">
            <v>1817800810</v>
          </cell>
          <cell r="B424" t="str">
            <v>ליווי חינוך מיוחד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>
            <v>1817830710</v>
          </cell>
          <cell r="B425" t="str">
            <v>ליווי חינוך מיוחד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>
            <v>1817840710</v>
          </cell>
          <cell r="B426" t="str">
            <v>שמירה למוסדות חינוך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>
            <v>1817880810</v>
          </cell>
          <cell r="B427" t="str">
            <v>שירות בריאותי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>
            <v>1817900750</v>
          </cell>
          <cell r="B428" t="str">
            <v>אספקת עובדים למוסדות</v>
          </cell>
          <cell r="C428">
            <v>505210</v>
          </cell>
          <cell r="D428">
            <v>1771153.62</v>
          </cell>
          <cell r="E428">
            <v>0</v>
          </cell>
          <cell r="F428">
            <v>1771153.62</v>
          </cell>
          <cell r="G428">
            <v>-1265943.6200000001</v>
          </cell>
          <cell r="H428">
            <v>350.57</v>
          </cell>
          <cell r="I428">
            <v>606500</v>
          </cell>
          <cell r="J428">
            <v>1771153.62</v>
          </cell>
        </row>
        <row r="429">
          <cell r="A429">
            <v>1817900810</v>
          </cell>
          <cell r="B429" t="str">
            <v>אספקת עובדים למוסדות</v>
          </cell>
          <cell r="C429">
            <v>505210</v>
          </cell>
          <cell r="D429">
            <v>0</v>
          </cell>
          <cell r="E429">
            <v>0</v>
          </cell>
          <cell r="F429">
            <v>0</v>
          </cell>
          <cell r="G429">
            <v>505210</v>
          </cell>
          <cell r="H429">
            <v>0</v>
          </cell>
          <cell r="I429">
            <v>606500</v>
          </cell>
          <cell r="J429">
            <v>0</v>
          </cell>
        </row>
        <row r="430">
          <cell r="A430">
            <v>1817900850</v>
          </cell>
          <cell r="B430" t="str">
            <v>מלגות סטודינטים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>
            <v>1818000110</v>
          </cell>
          <cell r="B431" t="str">
            <v>הוצ משכורת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>
            <v>1821000110</v>
          </cell>
          <cell r="B432" t="str">
            <v>משכורות ושכ"ע</v>
          </cell>
          <cell r="C432">
            <v>755530</v>
          </cell>
          <cell r="D432">
            <v>747560.88</v>
          </cell>
          <cell r="E432">
            <v>0</v>
          </cell>
          <cell r="F432">
            <v>747560.88</v>
          </cell>
          <cell r="G432">
            <v>7969.12</v>
          </cell>
          <cell r="H432">
            <v>98.94</v>
          </cell>
          <cell r="I432">
            <v>907000</v>
          </cell>
          <cell r="J432">
            <v>747560.88</v>
          </cell>
        </row>
        <row r="433">
          <cell r="A433">
            <v>1822000510</v>
          </cell>
          <cell r="B433" t="str">
            <v>מזון</v>
          </cell>
          <cell r="C433">
            <v>151610</v>
          </cell>
          <cell r="D433">
            <v>70246.720000000001</v>
          </cell>
          <cell r="E433">
            <v>16083.44</v>
          </cell>
          <cell r="F433">
            <v>86330.16</v>
          </cell>
          <cell r="G433">
            <v>65279.839999999997</v>
          </cell>
          <cell r="H433">
            <v>56.94</v>
          </cell>
          <cell r="I433">
            <v>182000</v>
          </cell>
          <cell r="J433">
            <v>75880.72</v>
          </cell>
        </row>
        <row r="434">
          <cell r="A434">
            <v>1822000650</v>
          </cell>
          <cell r="B434" t="str">
            <v>קייטנות</v>
          </cell>
          <cell r="C434">
            <v>0</v>
          </cell>
          <cell r="D434">
            <v>486208.53</v>
          </cell>
          <cell r="E434">
            <v>15954</v>
          </cell>
          <cell r="F434">
            <v>502162.53</v>
          </cell>
          <cell r="G434">
            <v>-502162.53</v>
          </cell>
          <cell r="H434">
            <v>0</v>
          </cell>
          <cell r="I434">
            <v>0</v>
          </cell>
          <cell r="J434">
            <v>486208.53</v>
          </cell>
        </row>
        <row r="435">
          <cell r="A435">
            <v>1822000750</v>
          </cell>
          <cell r="B435" t="str">
            <v>אחזקת שוטפת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>
            <v>1822000810</v>
          </cell>
          <cell r="B436" t="str">
            <v>מעדניות</v>
          </cell>
          <cell r="C436">
            <v>0</v>
          </cell>
          <cell r="D436">
            <v>77508</v>
          </cell>
          <cell r="E436">
            <v>1146.5999999999999</v>
          </cell>
          <cell r="F436">
            <v>78654.600000000006</v>
          </cell>
          <cell r="G436">
            <v>-78654.600000000006</v>
          </cell>
          <cell r="H436">
            <v>0</v>
          </cell>
          <cell r="I436">
            <v>0</v>
          </cell>
          <cell r="J436">
            <v>77508</v>
          </cell>
        </row>
        <row r="437">
          <cell r="A437">
            <v>1822000930</v>
          </cell>
          <cell r="B437" t="str">
            <v>ציוד יסודי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>
            <v>1823000110</v>
          </cell>
          <cell r="B438" t="str">
            <v>משכורת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>
            <v>1823000431</v>
          </cell>
          <cell r="B439" t="str">
            <v>חשמל ספריה צבורית</v>
          </cell>
          <cell r="C439">
            <v>10830</v>
          </cell>
          <cell r="D439">
            <v>8960.73</v>
          </cell>
          <cell r="E439">
            <v>0</v>
          </cell>
          <cell r="F439">
            <v>8960.73</v>
          </cell>
          <cell r="G439">
            <v>1869.27</v>
          </cell>
          <cell r="H439">
            <v>82.73</v>
          </cell>
          <cell r="I439">
            <v>13000</v>
          </cell>
          <cell r="J439">
            <v>8960.73</v>
          </cell>
        </row>
        <row r="440">
          <cell r="A440">
            <v>1823000560</v>
          </cell>
          <cell r="B440" t="str">
            <v>משרדיות</v>
          </cell>
          <cell r="C440">
            <v>8330</v>
          </cell>
          <cell r="D440">
            <v>5160</v>
          </cell>
          <cell r="E440">
            <v>0</v>
          </cell>
          <cell r="F440">
            <v>5160</v>
          </cell>
          <cell r="G440">
            <v>3170</v>
          </cell>
          <cell r="H440">
            <v>61.94</v>
          </cell>
          <cell r="I440">
            <v>10000</v>
          </cell>
          <cell r="J440">
            <v>5434</v>
          </cell>
        </row>
        <row r="441">
          <cell r="A441">
            <v>1823000750</v>
          </cell>
          <cell r="B441" t="str">
            <v>ספריה ציבורית אחזקה</v>
          </cell>
          <cell r="C441">
            <v>0</v>
          </cell>
          <cell r="D441">
            <v>23925.7</v>
          </cell>
          <cell r="E441">
            <v>6025</v>
          </cell>
          <cell r="F441">
            <v>29950.7</v>
          </cell>
          <cell r="G441">
            <v>-29950.7</v>
          </cell>
          <cell r="H441">
            <v>0</v>
          </cell>
          <cell r="I441">
            <v>0</v>
          </cell>
          <cell r="J441">
            <v>23925.7</v>
          </cell>
        </row>
        <row r="442">
          <cell r="A442">
            <v>1823000930</v>
          </cell>
          <cell r="B442" t="str">
            <v>ספריה צבורית ציוד יסודי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>
            <v>1824000780</v>
          </cell>
          <cell r="B443" t="str">
            <v>שונות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>
            <v>1828000110</v>
          </cell>
          <cell r="B444" t="str">
            <v>הוצ משכורת</v>
          </cell>
          <cell r="C444">
            <v>112460</v>
          </cell>
          <cell r="D444">
            <v>130966.46</v>
          </cell>
          <cell r="E444">
            <v>0</v>
          </cell>
          <cell r="F444">
            <v>130966.46</v>
          </cell>
          <cell r="G444">
            <v>-18506.46</v>
          </cell>
          <cell r="H444">
            <v>116.45</v>
          </cell>
          <cell r="I444">
            <v>135000</v>
          </cell>
          <cell r="J444">
            <v>130966.46</v>
          </cell>
        </row>
        <row r="445">
          <cell r="A445">
            <v>1828100110</v>
          </cell>
          <cell r="B445" t="str">
            <v>טיפול בנוער בסיכון</v>
          </cell>
          <cell r="C445">
            <v>204090</v>
          </cell>
          <cell r="D445">
            <v>187045.84</v>
          </cell>
          <cell r="E445">
            <v>0</v>
          </cell>
          <cell r="F445">
            <v>187045.84</v>
          </cell>
          <cell r="G445">
            <v>17044.16</v>
          </cell>
          <cell r="H445">
            <v>91.64</v>
          </cell>
          <cell r="I445">
            <v>245000</v>
          </cell>
          <cell r="J445">
            <v>187045.84</v>
          </cell>
        </row>
        <row r="446">
          <cell r="A446">
            <v>1828100750</v>
          </cell>
          <cell r="B446" t="str">
            <v>פעולות נוער בסיכון</v>
          </cell>
          <cell r="C446">
            <v>0</v>
          </cell>
          <cell r="D446">
            <v>42925</v>
          </cell>
          <cell r="E446">
            <v>0</v>
          </cell>
          <cell r="F446">
            <v>42925</v>
          </cell>
          <cell r="G446">
            <v>-42925</v>
          </cell>
          <cell r="H446">
            <v>0</v>
          </cell>
          <cell r="I446">
            <v>0</v>
          </cell>
          <cell r="J446">
            <v>55925</v>
          </cell>
        </row>
        <row r="447">
          <cell r="A447">
            <v>1828200110</v>
          </cell>
          <cell r="B447" t="str">
            <v>משכורת יחדת קידום נוער</v>
          </cell>
          <cell r="C447">
            <v>286550</v>
          </cell>
          <cell r="D447">
            <v>253588.81</v>
          </cell>
          <cell r="E447">
            <v>0</v>
          </cell>
          <cell r="F447">
            <v>253588.81</v>
          </cell>
          <cell r="G447">
            <v>32961.19</v>
          </cell>
          <cell r="H447">
            <v>88.49</v>
          </cell>
          <cell r="I447">
            <v>344000</v>
          </cell>
          <cell r="J447">
            <v>253588.81</v>
          </cell>
        </row>
        <row r="448">
          <cell r="A448">
            <v>1828200810</v>
          </cell>
          <cell r="B448" t="str">
            <v>מוקדי הפעלת בית נוער</v>
          </cell>
          <cell r="C448">
            <v>14160</v>
          </cell>
          <cell r="D448">
            <v>8945</v>
          </cell>
          <cell r="E448">
            <v>7642</v>
          </cell>
          <cell r="F448">
            <v>16587</v>
          </cell>
          <cell r="G448">
            <v>-2427</v>
          </cell>
          <cell r="H448">
            <v>117.13</v>
          </cell>
          <cell r="I448">
            <v>17000</v>
          </cell>
          <cell r="J448">
            <v>8945</v>
          </cell>
        </row>
        <row r="449">
          <cell r="A449">
            <v>1828210110</v>
          </cell>
          <cell r="B449" t="str">
            <v>שכר מנהל תכנית עיר ללא אלימות</v>
          </cell>
          <cell r="C449">
            <v>84130</v>
          </cell>
          <cell r="D449">
            <v>74694.78</v>
          </cell>
          <cell r="E449">
            <v>0</v>
          </cell>
          <cell r="F449">
            <v>74694.78</v>
          </cell>
          <cell r="G449">
            <v>9435.2199999999993</v>
          </cell>
          <cell r="H449">
            <v>88.78</v>
          </cell>
          <cell r="I449">
            <v>101000</v>
          </cell>
          <cell r="J449">
            <v>74694.78</v>
          </cell>
        </row>
        <row r="450">
          <cell r="A450">
            <v>1828210810</v>
          </cell>
          <cell r="B450" t="str">
            <v>תוכנית עיר ללא אלימות</v>
          </cell>
          <cell r="C450">
            <v>87470</v>
          </cell>
          <cell r="D450">
            <v>255291</v>
          </cell>
          <cell r="E450">
            <v>45998.2</v>
          </cell>
          <cell r="F450">
            <v>301289.2</v>
          </cell>
          <cell r="G450">
            <v>-213819.2</v>
          </cell>
          <cell r="H450">
            <v>344.44</v>
          </cell>
          <cell r="I450">
            <v>105000</v>
          </cell>
          <cell r="J450">
            <v>263791</v>
          </cell>
        </row>
        <row r="451">
          <cell r="A451">
            <v>1828220650</v>
          </cell>
          <cell r="B451" t="str">
            <v>פרוייקט מעשים טובים</v>
          </cell>
          <cell r="C451">
            <v>0</v>
          </cell>
          <cell r="D451">
            <v>3021.09</v>
          </cell>
          <cell r="E451">
            <v>7290.79</v>
          </cell>
          <cell r="F451">
            <v>10311.879999999999</v>
          </cell>
          <cell r="G451">
            <v>-10311.879999999999</v>
          </cell>
          <cell r="H451">
            <v>0</v>
          </cell>
          <cell r="I451">
            <v>0</v>
          </cell>
          <cell r="J451">
            <v>3021.09</v>
          </cell>
        </row>
        <row r="452">
          <cell r="A452">
            <v>1828220810</v>
          </cell>
          <cell r="B452" t="str">
            <v>חינוך בלתי פורמאלי</v>
          </cell>
          <cell r="C452">
            <v>0</v>
          </cell>
          <cell r="D452">
            <v>-100000</v>
          </cell>
          <cell r="E452">
            <v>0</v>
          </cell>
          <cell r="F452">
            <v>-100000</v>
          </cell>
          <cell r="G452">
            <v>100000</v>
          </cell>
          <cell r="H452">
            <v>0</v>
          </cell>
          <cell r="I452">
            <v>0</v>
          </cell>
          <cell r="J452">
            <v>-100000</v>
          </cell>
        </row>
        <row r="453">
          <cell r="A453">
            <v>1828226110</v>
          </cell>
          <cell r="B453" t="str">
            <v>אתגרים פעילויות</v>
          </cell>
          <cell r="C453">
            <v>0</v>
          </cell>
          <cell r="D453">
            <v>66531.06</v>
          </cell>
          <cell r="E453">
            <v>0</v>
          </cell>
          <cell r="F453">
            <v>66531.06</v>
          </cell>
          <cell r="G453">
            <v>-66531.06</v>
          </cell>
          <cell r="H453">
            <v>0</v>
          </cell>
          <cell r="I453">
            <v>0</v>
          </cell>
          <cell r="J453">
            <v>66531.06</v>
          </cell>
        </row>
        <row r="454">
          <cell r="A454">
            <v>1828310810</v>
          </cell>
          <cell r="B454" t="str">
            <v>מלגות לסטודנטים</v>
          </cell>
          <cell r="C454">
            <v>249900</v>
          </cell>
          <cell r="D454">
            <v>357000</v>
          </cell>
          <cell r="E454">
            <v>0</v>
          </cell>
          <cell r="F454">
            <v>357000</v>
          </cell>
          <cell r="G454">
            <v>-107100</v>
          </cell>
          <cell r="H454">
            <v>142.85</v>
          </cell>
          <cell r="I454">
            <v>300000</v>
          </cell>
          <cell r="J454">
            <v>357000</v>
          </cell>
        </row>
        <row r="455">
          <cell r="A455">
            <v>1828410810</v>
          </cell>
          <cell r="B455" t="str">
            <v>מחשב לכל ילד</v>
          </cell>
          <cell r="C455">
            <v>55810</v>
          </cell>
          <cell r="D455">
            <v>34719</v>
          </cell>
          <cell r="E455">
            <v>0</v>
          </cell>
          <cell r="F455">
            <v>34719</v>
          </cell>
          <cell r="G455">
            <v>21091</v>
          </cell>
          <cell r="H455">
            <v>62.2</v>
          </cell>
          <cell r="I455">
            <v>67000</v>
          </cell>
          <cell r="J455">
            <v>34719</v>
          </cell>
        </row>
        <row r="456">
          <cell r="A456">
            <v>1829000110</v>
          </cell>
          <cell r="B456" t="str">
            <v>הוצ משכורת</v>
          </cell>
          <cell r="C456">
            <v>272390</v>
          </cell>
          <cell r="D456">
            <v>186106.87</v>
          </cell>
          <cell r="E456">
            <v>0</v>
          </cell>
          <cell r="F456">
            <v>186106.87</v>
          </cell>
          <cell r="G456">
            <v>86283.13</v>
          </cell>
          <cell r="H456">
            <v>68.319999999999993</v>
          </cell>
          <cell r="I456">
            <v>327000</v>
          </cell>
          <cell r="J456">
            <v>186106.87</v>
          </cell>
        </row>
        <row r="457">
          <cell r="A457">
            <v>1829000540</v>
          </cell>
          <cell r="B457" t="str">
            <v>הוצ" תקשורת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>
            <v>1829100432</v>
          </cell>
          <cell r="B458" t="str">
            <v>הוצ" מים מגרש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>
            <v>1829100740</v>
          </cell>
          <cell r="B459" t="str">
            <v>אביזרי עזר למגרש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>
            <v>1829100750</v>
          </cell>
          <cell r="B460" t="str">
            <v>מתקני ספורט ומגרש</v>
          </cell>
          <cell r="C460">
            <v>118290</v>
          </cell>
          <cell r="D460">
            <v>110709</v>
          </cell>
          <cell r="E460">
            <v>31111.49</v>
          </cell>
          <cell r="F460">
            <v>141820.49</v>
          </cell>
          <cell r="G460">
            <v>-23530.49</v>
          </cell>
          <cell r="H460">
            <v>119.89</v>
          </cell>
          <cell r="I460">
            <v>142000</v>
          </cell>
          <cell r="J460">
            <v>110709</v>
          </cell>
        </row>
        <row r="461">
          <cell r="A461">
            <v>1829100780</v>
          </cell>
          <cell r="B461" t="str">
            <v>הסעות ספורט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>
            <v>1829100810</v>
          </cell>
          <cell r="B462" t="str">
            <v>תמיכות באגודות ספורט</v>
          </cell>
          <cell r="C462">
            <v>249900</v>
          </cell>
          <cell r="D462">
            <v>225000</v>
          </cell>
          <cell r="E462">
            <v>4800</v>
          </cell>
          <cell r="F462">
            <v>229800</v>
          </cell>
          <cell r="G462">
            <v>20100</v>
          </cell>
          <cell r="H462">
            <v>91.95</v>
          </cell>
          <cell r="I462">
            <v>300000</v>
          </cell>
          <cell r="J462">
            <v>225000</v>
          </cell>
        </row>
        <row r="463">
          <cell r="A463">
            <v>1829100910</v>
          </cell>
          <cell r="B463" t="str">
            <v>אולם ספואט השת" לתב"ר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>
            <v>1829100930</v>
          </cell>
          <cell r="B464" t="str">
            <v>ציודומתקנים ספורט</v>
          </cell>
          <cell r="C464">
            <v>33320</v>
          </cell>
          <cell r="D464">
            <v>8661</v>
          </cell>
          <cell r="E464">
            <v>26149.5</v>
          </cell>
          <cell r="F464">
            <v>34810.5</v>
          </cell>
          <cell r="G464">
            <v>-1490.5</v>
          </cell>
          <cell r="H464">
            <v>104.47</v>
          </cell>
          <cell r="I464">
            <v>40000</v>
          </cell>
          <cell r="J464">
            <v>8661</v>
          </cell>
        </row>
        <row r="465">
          <cell r="A465">
            <v>1829200110</v>
          </cell>
          <cell r="B465" t="str">
            <v>אחזקת מתקני ספורט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>
            <v>1829200431</v>
          </cell>
          <cell r="B466" t="str">
            <v>חשמל אולם ספורט</v>
          </cell>
          <cell r="C466">
            <v>5000</v>
          </cell>
          <cell r="D466">
            <v>0</v>
          </cell>
          <cell r="E466">
            <v>0</v>
          </cell>
          <cell r="F466">
            <v>0</v>
          </cell>
          <cell r="G466">
            <v>5000</v>
          </cell>
          <cell r="H466">
            <v>0</v>
          </cell>
          <cell r="I466">
            <v>6000</v>
          </cell>
          <cell r="J466">
            <v>0</v>
          </cell>
        </row>
        <row r="467">
          <cell r="A467">
            <v>1829200521</v>
          </cell>
          <cell r="B467" t="str">
            <v>השתלמות מנהלי ספורט</v>
          </cell>
          <cell r="C467">
            <v>1670</v>
          </cell>
          <cell r="D467">
            <v>0</v>
          </cell>
          <cell r="E467">
            <v>0</v>
          </cell>
          <cell r="F467">
            <v>0</v>
          </cell>
          <cell r="G467">
            <v>1670</v>
          </cell>
          <cell r="H467">
            <v>0</v>
          </cell>
          <cell r="I467">
            <v>2000</v>
          </cell>
          <cell r="J467">
            <v>0</v>
          </cell>
        </row>
        <row r="468">
          <cell r="A468">
            <v>1829300740</v>
          </cell>
          <cell r="B468" t="str">
            <v>ציוד למגרש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>
            <v>1829300810</v>
          </cell>
          <cell r="B469" t="str">
            <v>פעולות     ספורט</v>
          </cell>
          <cell r="C469">
            <v>19990</v>
          </cell>
          <cell r="D469">
            <v>0</v>
          </cell>
          <cell r="E469">
            <v>0</v>
          </cell>
          <cell r="F469">
            <v>0</v>
          </cell>
          <cell r="G469">
            <v>19990</v>
          </cell>
          <cell r="H469">
            <v>0</v>
          </cell>
          <cell r="I469">
            <v>24000</v>
          </cell>
          <cell r="J469">
            <v>0</v>
          </cell>
        </row>
        <row r="470">
          <cell r="A470">
            <v>1832400110</v>
          </cell>
          <cell r="B470" t="str">
            <v>משכורות ט.חלב</v>
          </cell>
          <cell r="C470">
            <v>54980</v>
          </cell>
          <cell r="D470">
            <v>51505.04</v>
          </cell>
          <cell r="E470">
            <v>0</v>
          </cell>
          <cell r="F470">
            <v>51505.04</v>
          </cell>
          <cell r="G470">
            <v>3474.96</v>
          </cell>
          <cell r="H470">
            <v>93.67</v>
          </cell>
          <cell r="I470">
            <v>66000</v>
          </cell>
          <cell r="J470">
            <v>51505.04</v>
          </cell>
        </row>
        <row r="471">
          <cell r="A471">
            <v>1832400420</v>
          </cell>
          <cell r="B471" t="str">
            <v>מרפאת שיניים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>
            <v>1832400431</v>
          </cell>
          <cell r="B472" t="str">
            <v>חשמל אם וילד</v>
          </cell>
          <cell r="C472">
            <v>10830</v>
          </cell>
          <cell r="D472">
            <v>5487.61</v>
          </cell>
          <cell r="E472">
            <v>0</v>
          </cell>
          <cell r="F472">
            <v>5487.61</v>
          </cell>
          <cell r="G472">
            <v>5342.39</v>
          </cell>
          <cell r="H472">
            <v>50.67</v>
          </cell>
          <cell r="I472">
            <v>13000</v>
          </cell>
          <cell r="J472">
            <v>5487.61</v>
          </cell>
        </row>
        <row r="473">
          <cell r="A473">
            <v>1832400540</v>
          </cell>
          <cell r="B473" t="str">
            <v>טלפון לתחנת ב.השן</v>
          </cell>
          <cell r="C473">
            <v>0</v>
          </cell>
          <cell r="D473">
            <v>6390.44</v>
          </cell>
          <cell r="E473">
            <v>0</v>
          </cell>
          <cell r="F473">
            <v>6390.44</v>
          </cell>
          <cell r="G473">
            <v>-6390.44</v>
          </cell>
          <cell r="H473">
            <v>0</v>
          </cell>
          <cell r="I473">
            <v>0</v>
          </cell>
          <cell r="J473">
            <v>6390.44</v>
          </cell>
        </row>
        <row r="474">
          <cell r="A474">
            <v>1832400780</v>
          </cell>
          <cell r="B474" t="str">
            <v>טיפת חלב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>
            <v>1832400930</v>
          </cell>
          <cell r="B475" t="str">
            <v>ציוד יסודי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>
            <v>1832400950</v>
          </cell>
          <cell r="B476" t="str">
            <v>תכנון מרכז _ת.בריאות ומשפ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>
            <v>1836200810</v>
          </cell>
          <cell r="B477" t="str">
            <v>נט"ן השתתפות</v>
          </cell>
          <cell r="C477">
            <v>28320</v>
          </cell>
          <cell r="D477">
            <v>25900.5</v>
          </cell>
          <cell r="E477">
            <v>0</v>
          </cell>
          <cell r="F477">
            <v>25900.5</v>
          </cell>
          <cell r="G477">
            <v>2419.5</v>
          </cell>
          <cell r="H477">
            <v>91.45</v>
          </cell>
          <cell r="I477">
            <v>34000</v>
          </cell>
          <cell r="J477">
            <v>25900.5</v>
          </cell>
        </row>
        <row r="478">
          <cell r="A478">
            <v>1841000110</v>
          </cell>
          <cell r="B478" t="str">
            <v>משכורת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</row>
        <row r="479">
          <cell r="A479">
            <v>1841000420</v>
          </cell>
          <cell r="B479" t="str">
            <v>אחזקת מבני רווחה</v>
          </cell>
          <cell r="C479">
            <v>11660</v>
          </cell>
          <cell r="D479">
            <v>31474</v>
          </cell>
          <cell r="E479">
            <v>10787.4</v>
          </cell>
          <cell r="F479">
            <v>42261.4</v>
          </cell>
          <cell r="G479">
            <v>-30601.4</v>
          </cell>
          <cell r="H479">
            <v>362.44</v>
          </cell>
          <cell r="I479">
            <v>14000</v>
          </cell>
          <cell r="J479">
            <v>31474</v>
          </cell>
        </row>
        <row r="480">
          <cell r="A480">
            <v>1841000430</v>
          </cell>
          <cell r="B480" t="str">
            <v>פעיליות בית זקנים</v>
          </cell>
          <cell r="C480">
            <v>35820</v>
          </cell>
          <cell r="D480">
            <v>5000</v>
          </cell>
          <cell r="E480">
            <v>5500</v>
          </cell>
          <cell r="F480">
            <v>10500</v>
          </cell>
          <cell r="G480">
            <v>25320</v>
          </cell>
          <cell r="H480">
            <v>29.31</v>
          </cell>
          <cell r="I480">
            <v>43000</v>
          </cell>
          <cell r="J480">
            <v>5000</v>
          </cell>
        </row>
        <row r="481">
          <cell r="A481">
            <v>1841000521</v>
          </cell>
          <cell r="B481" t="str">
            <v>השתלמיות</v>
          </cell>
          <cell r="C481">
            <v>0</v>
          </cell>
          <cell r="D481">
            <v>1700</v>
          </cell>
          <cell r="E481">
            <v>0</v>
          </cell>
          <cell r="F481">
            <v>1700</v>
          </cell>
          <cell r="G481">
            <v>-1700</v>
          </cell>
          <cell r="H481">
            <v>0</v>
          </cell>
          <cell r="I481">
            <v>0</v>
          </cell>
          <cell r="J481">
            <v>1700</v>
          </cell>
        </row>
        <row r="482">
          <cell r="A482">
            <v>1841000560</v>
          </cell>
          <cell r="B482" t="str">
            <v>משרדיות רווחה</v>
          </cell>
          <cell r="C482">
            <v>7500</v>
          </cell>
          <cell r="D482">
            <v>4374</v>
          </cell>
          <cell r="E482">
            <v>5305.84</v>
          </cell>
          <cell r="F482">
            <v>9679.84</v>
          </cell>
          <cell r="G482">
            <v>-2179.84</v>
          </cell>
          <cell r="H482">
            <v>129.06</v>
          </cell>
          <cell r="I482">
            <v>9000</v>
          </cell>
          <cell r="J482">
            <v>4655</v>
          </cell>
        </row>
        <row r="483">
          <cell r="A483">
            <v>1841000750</v>
          </cell>
          <cell r="B483" t="str">
            <v>שיפוצים משרדי רווחה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>
            <v>1841000760</v>
          </cell>
          <cell r="B484" t="str">
            <v>מרכז עוצמה -יעוץ לעובדי רווחה</v>
          </cell>
          <cell r="C484">
            <v>31650</v>
          </cell>
          <cell r="D484">
            <v>5000</v>
          </cell>
          <cell r="E484">
            <v>0</v>
          </cell>
          <cell r="F484">
            <v>5000</v>
          </cell>
          <cell r="G484">
            <v>26650</v>
          </cell>
          <cell r="H484">
            <v>15.79</v>
          </cell>
          <cell r="I484">
            <v>38000</v>
          </cell>
          <cell r="J484">
            <v>5000</v>
          </cell>
        </row>
        <row r="485">
          <cell r="A485">
            <v>1841000770</v>
          </cell>
          <cell r="B485" t="str">
            <v>סדנאות לנוער וצעירים ברווחה</v>
          </cell>
          <cell r="C485">
            <v>26660</v>
          </cell>
          <cell r="D485">
            <v>39646</v>
          </cell>
          <cell r="E485">
            <v>18786</v>
          </cell>
          <cell r="F485">
            <v>58432</v>
          </cell>
          <cell r="G485">
            <v>-31772</v>
          </cell>
          <cell r="H485">
            <v>219.17</v>
          </cell>
          <cell r="I485">
            <v>32000</v>
          </cell>
          <cell r="J485">
            <v>39646</v>
          </cell>
        </row>
        <row r="486">
          <cell r="A486">
            <v>1841000780</v>
          </cell>
          <cell r="B486" t="str">
            <v>שונות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1841100810</v>
          </cell>
          <cell r="B487" t="str">
            <v>הו"ארגוניות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>
            <v>1841200810</v>
          </cell>
          <cell r="B488" t="str">
            <v>הסעות רווחה</v>
          </cell>
          <cell r="C488">
            <v>67470</v>
          </cell>
          <cell r="D488">
            <v>21528</v>
          </cell>
          <cell r="E488">
            <v>0</v>
          </cell>
          <cell r="F488">
            <v>21528</v>
          </cell>
          <cell r="G488">
            <v>45942</v>
          </cell>
          <cell r="H488">
            <v>31.9</v>
          </cell>
          <cell r="I488">
            <v>81000</v>
          </cell>
          <cell r="J488">
            <v>21528</v>
          </cell>
        </row>
        <row r="489">
          <cell r="A489">
            <v>1842000110</v>
          </cell>
          <cell r="B489" t="str">
            <v>משכורות רווחה</v>
          </cell>
          <cell r="C489">
            <v>1479410</v>
          </cell>
          <cell r="D489">
            <v>1462389.21</v>
          </cell>
          <cell r="E489">
            <v>0</v>
          </cell>
          <cell r="F489">
            <v>1462389.21</v>
          </cell>
          <cell r="G489">
            <v>17020.79</v>
          </cell>
          <cell r="H489">
            <v>98.84</v>
          </cell>
          <cell r="I489">
            <v>1776000</v>
          </cell>
          <cell r="J489">
            <v>1462389.21</v>
          </cell>
        </row>
        <row r="490">
          <cell r="A490">
            <v>1842000540</v>
          </cell>
          <cell r="B490" t="str">
            <v>טלפון לשכת רווחה</v>
          </cell>
          <cell r="C490">
            <v>11660</v>
          </cell>
          <cell r="D490">
            <v>11076.94</v>
          </cell>
          <cell r="E490">
            <v>0</v>
          </cell>
          <cell r="F490">
            <v>11076.94</v>
          </cell>
          <cell r="G490">
            <v>583.05999999999995</v>
          </cell>
          <cell r="H490">
            <v>94.99</v>
          </cell>
          <cell r="I490">
            <v>14000</v>
          </cell>
          <cell r="J490">
            <v>11076.94</v>
          </cell>
        </row>
        <row r="491">
          <cell r="A491">
            <v>1842200840</v>
          </cell>
          <cell r="B491" t="str">
            <v>משפחות במצוקה קהילתית</v>
          </cell>
          <cell r="C491">
            <v>130780</v>
          </cell>
          <cell r="D491">
            <v>213260</v>
          </cell>
          <cell r="E491">
            <v>0</v>
          </cell>
          <cell r="F491">
            <v>213260</v>
          </cell>
          <cell r="G491">
            <v>-82480</v>
          </cell>
          <cell r="H491">
            <v>163.06</v>
          </cell>
          <cell r="I491">
            <v>157000</v>
          </cell>
          <cell r="J491">
            <v>213260</v>
          </cell>
        </row>
        <row r="492">
          <cell r="A492">
            <v>1842210810</v>
          </cell>
          <cell r="B492" t="str">
            <v>קייטנת אמהות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</row>
        <row r="493">
          <cell r="A493">
            <v>1842210840</v>
          </cell>
          <cell r="B493" t="str">
            <v>סיוע למשפחות עם ילדים</v>
          </cell>
          <cell r="C493">
            <v>243240</v>
          </cell>
          <cell r="D493">
            <v>253802</v>
          </cell>
          <cell r="E493">
            <v>0</v>
          </cell>
          <cell r="F493">
            <v>253802</v>
          </cell>
          <cell r="G493">
            <v>-10562</v>
          </cell>
          <cell r="H493">
            <v>104.34</v>
          </cell>
          <cell r="I493">
            <v>292000</v>
          </cell>
          <cell r="J493">
            <v>253802</v>
          </cell>
        </row>
        <row r="494">
          <cell r="A494">
            <v>1842220810</v>
          </cell>
          <cell r="B494" t="str">
            <v>בית חם לנערות</v>
          </cell>
          <cell r="C494">
            <v>288220</v>
          </cell>
          <cell r="D494">
            <v>302900</v>
          </cell>
          <cell r="E494">
            <v>0</v>
          </cell>
          <cell r="F494">
            <v>302900</v>
          </cell>
          <cell r="G494">
            <v>-14680</v>
          </cell>
          <cell r="H494">
            <v>105.09</v>
          </cell>
          <cell r="I494">
            <v>346000</v>
          </cell>
          <cell r="J494">
            <v>302900</v>
          </cell>
        </row>
        <row r="495">
          <cell r="A495">
            <v>1842222510</v>
          </cell>
          <cell r="B495" t="str">
            <v>צרכי משרד רווחה</v>
          </cell>
          <cell r="C495">
            <v>0</v>
          </cell>
          <cell r="D495">
            <v>702</v>
          </cell>
          <cell r="E495">
            <v>371.42</v>
          </cell>
          <cell r="F495">
            <v>1073.42</v>
          </cell>
          <cell r="G495">
            <v>-1073.42</v>
          </cell>
          <cell r="H495">
            <v>0</v>
          </cell>
          <cell r="I495">
            <v>0</v>
          </cell>
          <cell r="J495">
            <v>702</v>
          </cell>
        </row>
        <row r="496">
          <cell r="A496">
            <v>1842222930</v>
          </cell>
          <cell r="B496" t="str">
            <v>צרכי משרד רווחה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>
            <v>1842230810</v>
          </cell>
          <cell r="B497" t="str">
            <v>מרכזי טיפול באלימות</v>
          </cell>
          <cell r="C497">
            <v>42480</v>
          </cell>
          <cell r="D497">
            <v>100757</v>
          </cell>
          <cell r="E497">
            <v>0</v>
          </cell>
          <cell r="F497">
            <v>100757</v>
          </cell>
          <cell r="G497">
            <v>-58277</v>
          </cell>
          <cell r="H497">
            <v>237.18</v>
          </cell>
          <cell r="I497">
            <v>51000</v>
          </cell>
          <cell r="J497">
            <v>100757</v>
          </cell>
        </row>
        <row r="498">
          <cell r="A498">
            <v>1842500810</v>
          </cell>
          <cell r="B498" t="str">
            <v>סמך מקצועי</v>
          </cell>
          <cell r="C498">
            <v>830</v>
          </cell>
          <cell r="D498">
            <v>0</v>
          </cell>
          <cell r="E498">
            <v>0</v>
          </cell>
          <cell r="F498">
            <v>0</v>
          </cell>
          <cell r="G498">
            <v>830</v>
          </cell>
          <cell r="H498">
            <v>0</v>
          </cell>
          <cell r="I498">
            <v>1000</v>
          </cell>
          <cell r="J498">
            <v>0</v>
          </cell>
        </row>
        <row r="499">
          <cell r="A499">
            <v>1842510810</v>
          </cell>
          <cell r="B499" t="str">
            <v>מכון וינגנט</v>
          </cell>
          <cell r="C499">
            <v>6660</v>
          </cell>
          <cell r="D499">
            <v>0</v>
          </cell>
          <cell r="E499">
            <v>0</v>
          </cell>
          <cell r="F499">
            <v>0</v>
          </cell>
          <cell r="G499">
            <v>6660</v>
          </cell>
          <cell r="H499">
            <v>0</v>
          </cell>
          <cell r="I499">
            <v>8000</v>
          </cell>
          <cell r="J499">
            <v>0</v>
          </cell>
        </row>
        <row r="500">
          <cell r="A500">
            <v>1842600410</v>
          </cell>
          <cell r="B500" t="str">
            <v>שכר דירה משרד רווח</v>
          </cell>
          <cell r="C500">
            <v>51650</v>
          </cell>
          <cell r="D500">
            <v>74400</v>
          </cell>
          <cell r="E500">
            <v>0</v>
          </cell>
          <cell r="F500">
            <v>74400</v>
          </cell>
          <cell r="G500">
            <v>-22750</v>
          </cell>
          <cell r="H500">
            <v>144.04</v>
          </cell>
          <cell r="I500">
            <v>62000</v>
          </cell>
          <cell r="J500">
            <v>74400</v>
          </cell>
        </row>
        <row r="501">
          <cell r="A501">
            <v>1843500810</v>
          </cell>
          <cell r="B501" t="str">
            <v>רכזות משפחתונים</v>
          </cell>
          <cell r="C501">
            <v>1248670</v>
          </cell>
          <cell r="D501">
            <v>1311711</v>
          </cell>
          <cell r="E501">
            <v>0</v>
          </cell>
          <cell r="F501">
            <v>1311711</v>
          </cell>
          <cell r="G501">
            <v>-63041</v>
          </cell>
          <cell r="H501">
            <v>105.04</v>
          </cell>
          <cell r="I501">
            <v>1499000</v>
          </cell>
          <cell r="J501">
            <v>1450832</v>
          </cell>
        </row>
        <row r="502">
          <cell r="A502">
            <v>1843510840</v>
          </cell>
          <cell r="B502" t="str">
            <v>טיפול בילד בקהילה</v>
          </cell>
          <cell r="C502">
            <v>353190</v>
          </cell>
          <cell r="D502">
            <v>411418</v>
          </cell>
          <cell r="E502">
            <v>0</v>
          </cell>
          <cell r="F502">
            <v>411418</v>
          </cell>
          <cell r="G502">
            <v>-58228</v>
          </cell>
          <cell r="H502">
            <v>116.48</v>
          </cell>
          <cell r="I502">
            <v>424000</v>
          </cell>
          <cell r="J502">
            <v>411418</v>
          </cell>
        </row>
        <row r="503">
          <cell r="A503">
            <v>1843800840</v>
          </cell>
          <cell r="B503" t="str">
            <v>אחזקת ילדים בפנימיות</v>
          </cell>
          <cell r="C503">
            <v>242400</v>
          </cell>
          <cell r="D503">
            <v>200420</v>
          </cell>
          <cell r="E503">
            <v>0</v>
          </cell>
          <cell r="F503">
            <v>200420</v>
          </cell>
          <cell r="G503">
            <v>41980</v>
          </cell>
          <cell r="H503">
            <v>82.68</v>
          </cell>
          <cell r="I503">
            <v>291000</v>
          </cell>
          <cell r="J503">
            <v>200420</v>
          </cell>
        </row>
        <row r="504">
          <cell r="A504">
            <v>1843900810</v>
          </cell>
          <cell r="B504" t="str">
            <v>ילדים במעון יום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>
            <v>1843910810</v>
          </cell>
          <cell r="B505" t="str">
            <v>אומנה יומית</v>
          </cell>
          <cell r="C505">
            <v>15830</v>
          </cell>
          <cell r="D505">
            <v>12771</v>
          </cell>
          <cell r="E505">
            <v>0</v>
          </cell>
          <cell r="F505">
            <v>12771</v>
          </cell>
          <cell r="G505">
            <v>3059</v>
          </cell>
          <cell r="H505">
            <v>80.67</v>
          </cell>
          <cell r="I505">
            <v>19000</v>
          </cell>
          <cell r="J505">
            <v>12771</v>
          </cell>
        </row>
        <row r="506">
          <cell r="A506">
            <v>1844000110</v>
          </cell>
          <cell r="B506" t="str">
            <v>משכורת כוללת</v>
          </cell>
          <cell r="C506">
            <v>69140</v>
          </cell>
          <cell r="D506">
            <v>67502.55</v>
          </cell>
          <cell r="E506">
            <v>0</v>
          </cell>
          <cell r="F506">
            <v>67502.55</v>
          </cell>
          <cell r="G506">
            <v>1637.45</v>
          </cell>
          <cell r="H506">
            <v>97.63</v>
          </cell>
          <cell r="I506">
            <v>83000</v>
          </cell>
          <cell r="J506">
            <v>67502.55</v>
          </cell>
        </row>
        <row r="507">
          <cell r="A507">
            <v>1844000431</v>
          </cell>
          <cell r="B507" t="str">
            <v>חשמל בית הקשיש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</row>
        <row r="508">
          <cell r="A508">
            <v>1844000980</v>
          </cell>
          <cell r="B508" t="str">
            <v>הוצ" שונות בית זקנים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>
            <v>1844410810</v>
          </cell>
          <cell r="B509" t="str">
            <v>צרכים מיוחדים לזקן</v>
          </cell>
          <cell r="C509">
            <v>44150</v>
          </cell>
          <cell r="D509">
            <v>49256</v>
          </cell>
          <cell r="E509">
            <v>0</v>
          </cell>
          <cell r="F509">
            <v>49256</v>
          </cell>
          <cell r="G509">
            <v>-5106</v>
          </cell>
          <cell r="H509">
            <v>111.56</v>
          </cell>
          <cell r="I509">
            <v>53000</v>
          </cell>
          <cell r="J509">
            <v>49256</v>
          </cell>
        </row>
        <row r="510">
          <cell r="A510">
            <v>1844410840</v>
          </cell>
          <cell r="B510" t="str">
            <v>טיפול בזקן בקהילה</v>
          </cell>
          <cell r="C510">
            <v>81630</v>
          </cell>
          <cell r="D510">
            <v>79353</v>
          </cell>
          <cell r="E510">
            <v>0</v>
          </cell>
          <cell r="F510">
            <v>79353</v>
          </cell>
          <cell r="G510">
            <v>2277</v>
          </cell>
          <cell r="H510">
            <v>97.21</v>
          </cell>
          <cell r="I510">
            <v>98000</v>
          </cell>
          <cell r="J510">
            <v>79353</v>
          </cell>
        </row>
        <row r="511">
          <cell r="A511">
            <v>1845100840</v>
          </cell>
          <cell r="B511" t="str">
            <v>סדור מפגרים במוסדות</v>
          </cell>
          <cell r="C511">
            <v>466480</v>
          </cell>
          <cell r="D511">
            <v>597296</v>
          </cell>
          <cell r="E511">
            <v>0</v>
          </cell>
          <cell r="F511">
            <v>597296</v>
          </cell>
          <cell r="G511">
            <v>-130816</v>
          </cell>
          <cell r="H511">
            <v>128.04</v>
          </cell>
          <cell r="I511">
            <v>560000</v>
          </cell>
          <cell r="J511">
            <v>597296</v>
          </cell>
        </row>
        <row r="512">
          <cell r="A512">
            <v>1845110840</v>
          </cell>
          <cell r="B512" t="str">
            <v>מפגרים במעון טיפולי</v>
          </cell>
          <cell r="C512">
            <v>613090</v>
          </cell>
          <cell r="D512">
            <v>551862</v>
          </cell>
          <cell r="E512">
            <v>0</v>
          </cell>
          <cell r="F512">
            <v>551862</v>
          </cell>
          <cell r="G512">
            <v>61228</v>
          </cell>
          <cell r="H512">
            <v>90.01</v>
          </cell>
          <cell r="I512">
            <v>736000</v>
          </cell>
          <cell r="J512">
            <v>551862</v>
          </cell>
        </row>
        <row r="513">
          <cell r="A513">
            <v>1845120840</v>
          </cell>
          <cell r="B513" t="str">
            <v>הסעות למעון יום טיפולי</v>
          </cell>
          <cell r="C513">
            <v>509800</v>
          </cell>
          <cell r="D513">
            <v>552647</v>
          </cell>
          <cell r="E513">
            <v>0</v>
          </cell>
          <cell r="F513">
            <v>552647</v>
          </cell>
          <cell r="G513">
            <v>-42847</v>
          </cell>
          <cell r="H513">
            <v>108.4</v>
          </cell>
          <cell r="I513">
            <v>612000</v>
          </cell>
          <cell r="J513">
            <v>552647</v>
          </cell>
        </row>
        <row r="514">
          <cell r="A514">
            <v>1845200840</v>
          </cell>
          <cell r="B514" t="str">
            <v>מעשי"ם</v>
          </cell>
          <cell r="C514">
            <v>78300</v>
          </cell>
          <cell r="D514">
            <v>50232</v>
          </cell>
          <cell r="E514">
            <v>0</v>
          </cell>
          <cell r="F514">
            <v>50232</v>
          </cell>
          <cell r="G514">
            <v>28068</v>
          </cell>
          <cell r="H514">
            <v>64.150000000000006</v>
          </cell>
          <cell r="I514">
            <v>94000</v>
          </cell>
          <cell r="J514">
            <v>50232</v>
          </cell>
        </row>
        <row r="515">
          <cell r="A515">
            <v>1845210840</v>
          </cell>
          <cell r="B515" t="str">
            <v>מפגרים במעון אמוני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6">
          <cell r="A516">
            <v>1845300840</v>
          </cell>
          <cell r="B516" t="str">
            <v>שרותים תומכים למפגר</v>
          </cell>
          <cell r="C516">
            <v>0</v>
          </cell>
          <cell r="D516">
            <v>3550</v>
          </cell>
          <cell r="E516">
            <v>0</v>
          </cell>
          <cell r="F516">
            <v>3550</v>
          </cell>
          <cell r="G516">
            <v>-3550</v>
          </cell>
          <cell r="H516">
            <v>0</v>
          </cell>
          <cell r="I516">
            <v>0</v>
          </cell>
          <cell r="J516">
            <v>3550</v>
          </cell>
        </row>
        <row r="517">
          <cell r="A517">
            <v>1845500840</v>
          </cell>
          <cell r="B517" t="str">
            <v>תוכנית עם הפנים לקהילה</v>
          </cell>
          <cell r="C517">
            <v>101630</v>
          </cell>
          <cell r="D517">
            <v>85401</v>
          </cell>
          <cell r="E517">
            <v>0</v>
          </cell>
          <cell r="F517">
            <v>85401</v>
          </cell>
          <cell r="G517">
            <v>16229</v>
          </cell>
          <cell r="H517">
            <v>84.03</v>
          </cell>
          <cell r="I517">
            <v>122000</v>
          </cell>
          <cell r="J517">
            <v>85401</v>
          </cell>
        </row>
        <row r="518">
          <cell r="A518">
            <v>1846300840</v>
          </cell>
          <cell r="B518" t="str">
            <v>דמי ליווי לעוור</v>
          </cell>
          <cell r="C518">
            <v>10830</v>
          </cell>
          <cell r="D518">
            <v>10714</v>
          </cell>
          <cell r="E518">
            <v>0</v>
          </cell>
          <cell r="F518">
            <v>10714</v>
          </cell>
          <cell r="G518">
            <v>116</v>
          </cell>
          <cell r="H518">
            <v>98.92</v>
          </cell>
          <cell r="I518">
            <v>13000</v>
          </cell>
          <cell r="J518">
            <v>10714</v>
          </cell>
        </row>
        <row r="519">
          <cell r="A519">
            <v>1846310840</v>
          </cell>
          <cell r="B519" t="str">
            <v>דמי תקשורת לחרשים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A520">
            <v>1846350840</v>
          </cell>
          <cell r="B520" t="str">
            <v>כ"א בחינוך מיוחד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>
            <v>1846600840</v>
          </cell>
          <cell r="B521" t="str">
            <v>מלחמה בסמים</v>
          </cell>
          <cell r="C521">
            <v>0</v>
          </cell>
          <cell r="D521">
            <v>27181</v>
          </cell>
          <cell r="E521">
            <v>0</v>
          </cell>
          <cell r="F521">
            <v>27181</v>
          </cell>
          <cell r="G521">
            <v>-27181</v>
          </cell>
          <cell r="H521">
            <v>0</v>
          </cell>
          <cell r="I521">
            <v>0</v>
          </cell>
          <cell r="J521">
            <v>27181</v>
          </cell>
        </row>
        <row r="522">
          <cell r="A522">
            <v>1846610810</v>
          </cell>
          <cell r="B522" t="str">
            <v>מעדונית משפחתית</v>
          </cell>
          <cell r="C522">
            <v>83300</v>
          </cell>
          <cell r="D522">
            <v>80924</v>
          </cell>
          <cell r="E522">
            <v>0</v>
          </cell>
          <cell r="F522">
            <v>80924</v>
          </cell>
          <cell r="G522">
            <v>2376</v>
          </cell>
          <cell r="H522">
            <v>97.14</v>
          </cell>
          <cell r="I522">
            <v>100000</v>
          </cell>
          <cell r="J522">
            <v>80924</v>
          </cell>
        </row>
        <row r="523">
          <cell r="A523">
            <v>1846610840</v>
          </cell>
          <cell r="B523" t="str">
            <v>מעדוניות משוטפות</v>
          </cell>
          <cell r="C523">
            <v>0</v>
          </cell>
          <cell r="D523">
            <v>13026</v>
          </cell>
          <cell r="E523">
            <v>0</v>
          </cell>
          <cell r="F523">
            <v>13026</v>
          </cell>
          <cell r="G523">
            <v>-13026</v>
          </cell>
          <cell r="H523">
            <v>0</v>
          </cell>
          <cell r="I523">
            <v>0</v>
          </cell>
          <cell r="J523">
            <v>13026</v>
          </cell>
        </row>
        <row r="524">
          <cell r="A524">
            <v>1846800810</v>
          </cell>
          <cell r="B524" t="str">
            <v>מפעלי שיקום</v>
          </cell>
          <cell r="C524">
            <v>14160</v>
          </cell>
          <cell r="D524">
            <v>48160</v>
          </cell>
          <cell r="E524">
            <v>0</v>
          </cell>
          <cell r="F524">
            <v>48160</v>
          </cell>
          <cell r="G524">
            <v>-34000</v>
          </cell>
          <cell r="H524">
            <v>340.11</v>
          </cell>
          <cell r="I524">
            <v>17000</v>
          </cell>
          <cell r="J524">
            <v>48160</v>
          </cell>
        </row>
        <row r="525">
          <cell r="A525">
            <v>1846800840</v>
          </cell>
          <cell r="B525" t="str">
            <v>מרכזי אבחון ושיקום</v>
          </cell>
          <cell r="C525">
            <v>180760</v>
          </cell>
          <cell r="D525">
            <v>253325</v>
          </cell>
          <cell r="E525">
            <v>0</v>
          </cell>
          <cell r="F525">
            <v>253325</v>
          </cell>
          <cell r="G525">
            <v>-72565</v>
          </cell>
          <cell r="H525">
            <v>140.13999999999999</v>
          </cell>
          <cell r="I525">
            <v>217000</v>
          </cell>
          <cell r="J525">
            <v>253325</v>
          </cell>
        </row>
        <row r="526">
          <cell r="A526">
            <v>1847300840</v>
          </cell>
          <cell r="B526" t="str">
            <v>א/ע שמרון מטבחחים השתתפות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A527">
            <v>1850000431</v>
          </cell>
          <cell r="B527" t="str">
            <v>חשמל מסגדים</v>
          </cell>
          <cell r="C527">
            <v>79970</v>
          </cell>
          <cell r="D527">
            <v>61587.82</v>
          </cell>
          <cell r="E527">
            <v>0</v>
          </cell>
          <cell r="F527">
            <v>61587.82</v>
          </cell>
          <cell r="G527">
            <v>18382.18</v>
          </cell>
          <cell r="H527">
            <v>77.010000000000005</v>
          </cell>
          <cell r="I527">
            <v>96000</v>
          </cell>
          <cell r="J527">
            <v>61587.82</v>
          </cell>
        </row>
        <row r="528">
          <cell r="A528">
            <v>1853000432</v>
          </cell>
          <cell r="B528" t="str">
            <v>מים מסגדים וקברותץ</v>
          </cell>
          <cell r="C528">
            <v>31650</v>
          </cell>
          <cell r="D528">
            <v>0</v>
          </cell>
          <cell r="E528">
            <v>0</v>
          </cell>
          <cell r="F528">
            <v>0</v>
          </cell>
          <cell r="G528">
            <v>31650</v>
          </cell>
          <cell r="H528">
            <v>0</v>
          </cell>
          <cell r="I528">
            <v>38000</v>
          </cell>
          <cell r="J528">
            <v>0</v>
          </cell>
        </row>
        <row r="529">
          <cell r="A529">
            <v>1853000750</v>
          </cell>
          <cell r="B529" t="str">
            <v>עבודות קבלניות-מסגדים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</row>
        <row r="530">
          <cell r="A530">
            <v>1853000810</v>
          </cell>
          <cell r="B530" t="str">
            <v>תמכיה במסגדים</v>
          </cell>
          <cell r="C530">
            <v>2500</v>
          </cell>
          <cell r="D530">
            <v>0</v>
          </cell>
          <cell r="E530">
            <v>0</v>
          </cell>
          <cell r="F530">
            <v>0</v>
          </cell>
          <cell r="G530">
            <v>2500</v>
          </cell>
          <cell r="H530">
            <v>0</v>
          </cell>
          <cell r="I530">
            <v>3000</v>
          </cell>
          <cell r="J530">
            <v>0</v>
          </cell>
        </row>
        <row r="531">
          <cell r="A531">
            <v>1853000820</v>
          </cell>
          <cell r="B531" t="str">
            <v>תמיכה באימאם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2">
          <cell r="A532">
            <v>1912000110</v>
          </cell>
          <cell r="B532" t="str">
            <v>משכורות   כלליות</v>
          </cell>
          <cell r="C532">
            <v>101630</v>
          </cell>
          <cell r="D532">
            <v>30562.35</v>
          </cell>
          <cell r="E532">
            <v>0</v>
          </cell>
          <cell r="F532">
            <v>30562.35</v>
          </cell>
          <cell r="G532">
            <v>71067.649999999994</v>
          </cell>
          <cell r="H532">
            <v>30.07</v>
          </cell>
          <cell r="I532">
            <v>122000</v>
          </cell>
          <cell r="J532">
            <v>30562.35</v>
          </cell>
        </row>
        <row r="533">
          <cell r="A533">
            <v>1913000540</v>
          </cell>
          <cell r="B533" t="str">
            <v>הוצ" תקשורת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4">
          <cell r="A534">
            <v>1913000732</v>
          </cell>
          <cell r="B534" t="str">
            <v>תקונים וח-ח רכב</v>
          </cell>
          <cell r="C534">
            <v>11660</v>
          </cell>
          <cell r="D534">
            <v>7348.9</v>
          </cell>
          <cell r="E534">
            <v>0</v>
          </cell>
          <cell r="F534">
            <v>7348.9</v>
          </cell>
          <cell r="G534">
            <v>4311.1000000000004</v>
          </cell>
          <cell r="H534">
            <v>63.02</v>
          </cell>
          <cell r="I534">
            <v>14000</v>
          </cell>
          <cell r="J534">
            <v>7348.9</v>
          </cell>
        </row>
        <row r="535">
          <cell r="A535">
            <v>1913100720</v>
          </cell>
          <cell r="B535" t="str">
            <v>קנית ממים ממקורות</v>
          </cell>
          <cell r="C535">
            <v>2728910</v>
          </cell>
          <cell r="D535">
            <v>2427451.65</v>
          </cell>
          <cell r="E535">
            <v>0</v>
          </cell>
          <cell r="F535">
            <v>2427451.65</v>
          </cell>
          <cell r="G535">
            <v>301458.34999999998</v>
          </cell>
          <cell r="H535">
            <v>88.95</v>
          </cell>
          <cell r="I535">
            <v>3276000</v>
          </cell>
          <cell r="J535">
            <v>2714284.17</v>
          </cell>
        </row>
        <row r="536">
          <cell r="A536">
            <v>1913200110</v>
          </cell>
          <cell r="B536" t="str">
            <v>משכורות</v>
          </cell>
          <cell r="C536">
            <v>163270</v>
          </cell>
          <cell r="D536">
            <v>137636.68</v>
          </cell>
          <cell r="E536">
            <v>0</v>
          </cell>
          <cell r="F536">
            <v>137636.68</v>
          </cell>
          <cell r="G536">
            <v>25633.32</v>
          </cell>
          <cell r="H536">
            <v>84.3</v>
          </cell>
          <cell r="I536">
            <v>196000</v>
          </cell>
          <cell r="J536">
            <v>137636.68</v>
          </cell>
        </row>
        <row r="537">
          <cell r="A537">
            <v>1913200431</v>
          </cell>
          <cell r="B537" t="str">
            <v>חשמל מ.מים</v>
          </cell>
          <cell r="C537">
            <v>65810</v>
          </cell>
          <cell r="D537">
            <v>57602.96</v>
          </cell>
          <cell r="E537">
            <v>0</v>
          </cell>
          <cell r="F537">
            <v>57602.96</v>
          </cell>
          <cell r="G537">
            <v>8207.0400000000009</v>
          </cell>
          <cell r="H537">
            <v>87.52</v>
          </cell>
          <cell r="I537">
            <v>79000</v>
          </cell>
          <cell r="J537">
            <v>57602.96</v>
          </cell>
        </row>
        <row r="538">
          <cell r="A538">
            <v>1913200720</v>
          </cell>
          <cell r="B538" t="str">
            <v>קרן שיקום צנרת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39">
          <cell r="A539">
            <v>1913200731</v>
          </cell>
          <cell r="B539" t="str">
            <v>דלק</v>
          </cell>
          <cell r="C539">
            <v>6660</v>
          </cell>
          <cell r="D539">
            <v>19172.05</v>
          </cell>
          <cell r="E539">
            <v>0</v>
          </cell>
          <cell r="F539">
            <v>19172.05</v>
          </cell>
          <cell r="G539">
            <v>-12512.05</v>
          </cell>
          <cell r="H539">
            <v>287.86</v>
          </cell>
          <cell r="I539">
            <v>8000</v>
          </cell>
          <cell r="J539">
            <v>19172.05</v>
          </cell>
        </row>
        <row r="540">
          <cell r="A540">
            <v>1913200750</v>
          </cell>
          <cell r="B540" t="str">
            <v>אחזקת מערכת מים</v>
          </cell>
          <cell r="C540">
            <v>123280</v>
          </cell>
          <cell r="D540">
            <v>67623.45</v>
          </cell>
          <cell r="E540">
            <v>50281.61</v>
          </cell>
          <cell r="F540">
            <v>117905.06</v>
          </cell>
          <cell r="G540">
            <v>5374.94</v>
          </cell>
          <cell r="H540">
            <v>95.64</v>
          </cell>
          <cell r="I540">
            <v>148000</v>
          </cell>
          <cell r="J540">
            <v>79817.850000000006</v>
          </cell>
        </row>
        <row r="541">
          <cell r="A541">
            <v>1913200910</v>
          </cell>
          <cell r="B541" t="str">
            <v>השתתפות בתב"ר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</row>
        <row r="542">
          <cell r="A542">
            <v>1913200930</v>
          </cell>
          <cell r="B542" t="str">
            <v>רכישת ציוד יסודי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>
            <v>1913300731</v>
          </cell>
          <cell r="B543" t="str">
            <v>הוצ עודפת</v>
          </cell>
          <cell r="C543">
            <v>12500</v>
          </cell>
          <cell r="D543">
            <v>13200</v>
          </cell>
          <cell r="E543">
            <v>0</v>
          </cell>
          <cell r="F543">
            <v>13200</v>
          </cell>
          <cell r="G543">
            <v>-700</v>
          </cell>
          <cell r="H543">
            <v>105.6</v>
          </cell>
          <cell r="I543">
            <v>15000</v>
          </cell>
          <cell r="J543">
            <v>13200</v>
          </cell>
        </row>
        <row r="544">
          <cell r="A544">
            <v>1970000110</v>
          </cell>
          <cell r="B544" t="str">
            <v>הוצ" משכורת / תיעול ויקוז</v>
          </cell>
          <cell r="C544">
            <v>114120</v>
          </cell>
          <cell r="D544">
            <v>132016.56</v>
          </cell>
          <cell r="E544">
            <v>0</v>
          </cell>
          <cell r="F544">
            <v>132016.56</v>
          </cell>
          <cell r="G544">
            <v>-17896.560000000001</v>
          </cell>
          <cell r="H544">
            <v>115.68</v>
          </cell>
          <cell r="I544">
            <v>137000</v>
          </cell>
          <cell r="J544">
            <v>132016.56</v>
          </cell>
        </row>
        <row r="545">
          <cell r="A545">
            <v>1973000431</v>
          </cell>
          <cell r="B545" t="str">
            <v>חשמל מכון שאיבה</v>
          </cell>
          <cell r="C545">
            <v>14990</v>
          </cell>
          <cell r="D545">
            <v>0</v>
          </cell>
          <cell r="E545">
            <v>0</v>
          </cell>
          <cell r="F545">
            <v>0</v>
          </cell>
          <cell r="G545">
            <v>14990</v>
          </cell>
          <cell r="H545">
            <v>0</v>
          </cell>
          <cell r="I545">
            <v>18000</v>
          </cell>
          <cell r="J545">
            <v>0</v>
          </cell>
        </row>
        <row r="546">
          <cell r="A546">
            <v>1973000440</v>
          </cell>
          <cell r="B546" t="str">
            <v>ביטוחים</v>
          </cell>
          <cell r="C546">
            <v>22490</v>
          </cell>
          <cell r="D546">
            <v>22132</v>
          </cell>
          <cell r="E546">
            <v>0</v>
          </cell>
          <cell r="F546">
            <v>22132</v>
          </cell>
          <cell r="G546">
            <v>358</v>
          </cell>
          <cell r="H546">
            <v>98.4</v>
          </cell>
          <cell r="I546">
            <v>27000</v>
          </cell>
          <cell r="J546">
            <v>22132</v>
          </cell>
        </row>
        <row r="547">
          <cell r="A547">
            <v>1973000691</v>
          </cell>
          <cell r="B547" t="str">
            <v>קרן ביוב</v>
          </cell>
          <cell r="C547">
            <v>7500</v>
          </cell>
          <cell r="D547">
            <v>6561.3</v>
          </cell>
          <cell r="E547">
            <v>0</v>
          </cell>
          <cell r="F547">
            <v>6561.3</v>
          </cell>
          <cell r="G547">
            <v>938.7</v>
          </cell>
          <cell r="H547">
            <v>87.48</v>
          </cell>
          <cell r="I547">
            <v>9000</v>
          </cell>
          <cell r="J547">
            <v>6561.3</v>
          </cell>
        </row>
        <row r="548">
          <cell r="A548">
            <v>1973000692</v>
          </cell>
          <cell r="B548" t="str">
            <v>ריבית ביוב</v>
          </cell>
          <cell r="C548">
            <v>5000</v>
          </cell>
          <cell r="D548">
            <v>4046.99</v>
          </cell>
          <cell r="E548">
            <v>0</v>
          </cell>
          <cell r="F548">
            <v>4046.99</v>
          </cell>
          <cell r="G548">
            <v>953.01</v>
          </cell>
          <cell r="H548">
            <v>80.930000000000007</v>
          </cell>
          <cell r="I548">
            <v>6000</v>
          </cell>
          <cell r="J548">
            <v>4046.99</v>
          </cell>
        </row>
        <row r="549">
          <cell r="A549">
            <v>1973000693</v>
          </cell>
          <cell r="B549" t="str">
            <v>הצמדה ביוב</v>
          </cell>
          <cell r="C549">
            <v>830</v>
          </cell>
          <cell r="D549">
            <v>961.15</v>
          </cell>
          <cell r="E549">
            <v>0</v>
          </cell>
          <cell r="F549">
            <v>961.15</v>
          </cell>
          <cell r="G549">
            <v>-131.15</v>
          </cell>
          <cell r="H549">
            <v>115.8</v>
          </cell>
          <cell r="I549">
            <v>1000</v>
          </cell>
          <cell r="J549">
            <v>961.15</v>
          </cell>
        </row>
        <row r="550">
          <cell r="A550">
            <v>1973000750</v>
          </cell>
          <cell r="B550" t="str">
            <v>אחזקת מכון שאיבה</v>
          </cell>
          <cell r="C550">
            <v>167430</v>
          </cell>
          <cell r="D550">
            <v>134723</v>
          </cell>
          <cell r="E550">
            <v>17982.900000000001</v>
          </cell>
          <cell r="F550">
            <v>152705.9</v>
          </cell>
          <cell r="G550">
            <v>14724.1</v>
          </cell>
          <cell r="H550">
            <v>91.2</v>
          </cell>
          <cell r="I550">
            <v>201000</v>
          </cell>
          <cell r="J550">
            <v>136006</v>
          </cell>
        </row>
        <row r="551">
          <cell r="A551">
            <v>1973000760</v>
          </cell>
          <cell r="B551" t="str">
            <v>מט"ש מעיין צבי אחזקה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>
            <v>1973000810</v>
          </cell>
          <cell r="B552" t="str">
            <v>מט"ש מעיין צבי אחזקה</v>
          </cell>
          <cell r="C552">
            <v>541450</v>
          </cell>
          <cell r="D552">
            <v>100000</v>
          </cell>
          <cell r="E552">
            <v>0</v>
          </cell>
          <cell r="F552">
            <v>100000</v>
          </cell>
          <cell r="G552">
            <v>441450</v>
          </cell>
          <cell r="H552">
            <v>18.46</v>
          </cell>
          <cell r="I552">
            <v>650000</v>
          </cell>
          <cell r="J552">
            <v>100000</v>
          </cell>
        </row>
        <row r="553">
          <cell r="A553">
            <v>1973000930</v>
          </cell>
          <cell r="B553" t="str">
            <v>ציוד יסודי-מערכת ביוב</v>
          </cell>
          <cell r="C553">
            <v>0</v>
          </cell>
          <cell r="D553">
            <v>-100000</v>
          </cell>
          <cell r="E553">
            <v>0</v>
          </cell>
          <cell r="F553">
            <v>-100000</v>
          </cell>
          <cell r="G553">
            <v>100000</v>
          </cell>
          <cell r="H553">
            <v>0</v>
          </cell>
          <cell r="I553">
            <v>0</v>
          </cell>
          <cell r="J553">
            <v>-100000</v>
          </cell>
        </row>
        <row r="554">
          <cell r="A554">
            <v>1973100750</v>
          </cell>
          <cell r="B554" t="str">
            <v>תיקונים קווי ביוב פנימיים וחיב</v>
          </cell>
          <cell r="C554">
            <v>0</v>
          </cell>
          <cell r="D554">
            <v>0</v>
          </cell>
          <cell r="E554">
            <v>7066.8</v>
          </cell>
          <cell r="F554">
            <v>7066.8</v>
          </cell>
          <cell r="G554">
            <v>-7066.8</v>
          </cell>
          <cell r="H554">
            <v>0</v>
          </cell>
          <cell r="I554">
            <v>0</v>
          </cell>
          <cell r="J554">
            <v>0</v>
          </cell>
        </row>
        <row r="555">
          <cell r="A555">
            <v>1992000091</v>
          </cell>
          <cell r="B555" t="str">
            <v>הוצאות חד פעמיות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</row>
        <row r="556">
          <cell r="A556">
            <v>1992000910</v>
          </cell>
          <cell r="B556" t="str">
            <v>הוצ" ח"פ והעברות לתבר"ם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</row>
        <row r="557">
          <cell r="A557">
            <v>1992000960</v>
          </cell>
          <cell r="B557" t="str">
            <v>הוצ" מותנות</v>
          </cell>
          <cell r="C557">
            <v>1406940</v>
          </cell>
          <cell r="D557">
            <v>0</v>
          </cell>
          <cell r="E557">
            <v>0</v>
          </cell>
          <cell r="F557">
            <v>0</v>
          </cell>
          <cell r="G557">
            <v>1406940</v>
          </cell>
          <cell r="H557">
            <v>0</v>
          </cell>
          <cell r="I557">
            <v>1689000</v>
          </cell>
          <cell r="J557">
            <v>0</v>
          </cell>
        </row>
        <row r="558">
          <cell r="A558">
            <v>1992000991</v>
          </cell>
          <cell r="B558" t="str">
            <v>הוצאות חד פעמיות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>
            <v>1995000860</v>
          </cell>
          <cell r="B559" t="str">
            <v>הנחות ממסים לפי חוק</v>
          </cell>
          <cell r="C559">
            <v>2129150</v>
          </cell>
          <cell r="D559">
            <v>1256699.5</v>
          </cell>
          <cell r="E559">
            <v>0</v>
          </cell>
          <cell r="F559">
            <v>1256699.5</v>
          </cell>
          <cell r="G559">
            <v>872450.5</v>
          </cell>
          <cell r="H559">
            <v>59.02</v>
          </cell>
          <cell r="I559">
            <v>2556000</v>
          </cell>
          <cell r="J559">
            <v>1256699.5</v>
          </cell>
        </row>
        <row r="560">
          <cell r="A560">
            <v>1998000115</v>
          </cell>
          <cell r="B560" t="str">
            <v>תוספות אחרות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</row>
      </sheetData>
      <sheetData sheetId="16">
        <row r="2">
          <cell r="B2" t="str">
            <v>מס' כרטיס</v>
          </cell>
          <cell r="C2" t="str">
            <v>סעיף</v>
          </cell>
          <cell r="D2" t="str">
            <v>פרק</v>
          </cell>
          <cell r="E2" t="str">
            <v>שם כרטיס</v>
          </cell>
          <cell r="F2" t="str">
            <v>תקציב 2014</v>
          </cell>
          <cell r="G2" t="str">
            <v>ביצוע עד 10/2014</v>
          </cell>
          <cell r="H2" t="str">
            <v>ביצוע משוער 2014</v>
          </cell>
          <cell r="I2" t="str">
            <v>תקציב 2015</v>
          </cell>
          <cell r="J2" t="str">
            <v>ביצוע 1-7/2015</v>
          </cell>
          <cell r="K2" t="str">
            <v>ביצוע משוער 2015</v>
          </cell>
          <cell r="L2" t="str">
            <v xml:space="preserve">עדכון תקציב 2015 מס' 2 </v>
          </cell>
          <cell r="M2" t="str">
            <v>ביצוע חזוי 2015</v>
          </cell>
          <cell r="N2" t="str">
            <v>תקציב 2016</v>
          </cell>
          <cell r="O2" t="str">
            <v>ביצוע 31.08</v>
          </cell>
          <cell r="P2" t="str">
            <v>תקציב 2017</v>
          </cell>
          <cell r="Q2" t="str">
            <v>ביצוע 1-10/2017</v>
          </cell>
          <cell r="R2" t="str">
            <v>עדכון תקציב 2017</v>
          </cell>
          <cell r="S2">
            <v>0</v>
          </cell>
          <cell r="T2" t="str">
            <v>הדפסה</v>
          </cell>
        </row>
        <row r="3">
          <cell r="B3">
            <v>0</v>
          </cell>
          <cell r="C3" t="str">
            <v>מיסים ואגרות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1</v>
          </cell>
        </row>
        <row r="4">
          <cell r="B4">
            <v>1111000100</v>
          </cell>
          <cell r="C4" t="str">
            <v>100</v>
          </cell>
          <cell r="D4" t="str">
            <v>111000</v>
          </cell>
          <cell r="E4" t="str">
            <v>ארנונה</v>
          </cell>
          <cell r="F4">
            <v>6400000</v>
          </cell>
          <cell r="G4">
            <v>5036000</v>
          </cell>
          <cell r="H4">
            <v>6043200</v>
          </cell>
          <cell r="I4">
            <v>6600000</v>
          </cell>
          <cell r="J4" t="e">
            <v>#REF!</v>
          </cell>
          <cell r="K4" t="e">
            <v>#REF!</v>
          </cell>
          <cell r="L4">
            <v>6250000</v>
          </cell>
          <cell r="M4">
            <v>6250000</v>
          </cell>
          <cell r="N4">
            <v>6400000</v>
          </cell>
          <cell r="O4">
            <v>4290000</v>
          </cell>
          <cell r="P4">
            <v>4420000</v>
          </cell>
          <cell r="Q4">
            <v>3600000</v>
          </cell>
          <cell r="R4">
            <v>4350000</v>
          </cell>
          <cell r="S4">
            <v>0</v>
          </cell>
          <cell r="T4">
            <v>1</v>
          </cell>
        </row>
        <row r="5">
          <cell r="B5">
            <v>1112000121</v>
          </cell>
          <cell r="C5" t="str">
            <v>121</v>
          </cell>
          <cell r="D5" t="str">
            <v>112000</v>
          </cell>
          <cell r="E5" t="str">
            <v>הכנסות פיגורים</v>
          </cell>
          <cell r="F5">
            <v>420000</v>
          </cell>
          <cell r="G5">
            <v>558000</v>
          </cell>
          <cell r="H5">
            <v>430800</v>
          </cell>
          <cell r="I5">
            <v>500000</v>
          </cell>
          <cell r="J5" t="e">
            <v>#REF!</v>
          </cell>
          <cell r="K5" t="e">
            <v>#REF!</v>
          </cell>
          <cell r="L5">
            <v>550000</v>
          </cell>
          <cell r="M5">
            <v>550000</v>
          </cell>
          <cell r="N5">
            <v>600000</v>
          </cell>
          <cell r="O5">
            <v>380000</v>
          </cell>
          <cell r="P5">
            <v>2471000</v>
          </cell>
          <cell r="Q5">
            <v>1250000</v>
          </cell>
          <cell r="R5">
            <v>2000000</v>
          </cell>
          <cell r="S5">
            <v>0</v>
          </cell>
          <cell r="T5">
            <v>1</v>
          </cell>
        </row>
        <row r="6">
          <cell r="B6">
            <v>1112000122</v>
          </cell>
          <cell r="C6" t="str">
            <v>122</v>
          </cell>
          <cell r="D6" t="str">
            <v>112000</v>
          </cell>
          <cell r="E6" t="str">
            <v>ארנונה פיגורים 2008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>
            <v>1112000123</v>
          </cell>
          <cell r="C7" t="str">
            <v>123</v>
          </cell>
          <cell r="D7" t="str">
            <v>112000</v>
          </cell>
          <cell r="E7" t="str">
            <v>ארנונה פירורים 2009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B8">
            <v>1112000124</v>
          </cell>
          <cell r="C8" t="str">
            <v>124</v>
          </cell>
          <cell r="D8" t="str">
            <v>112000</v>
          </cell>
          <cell r="E8" t="str">
            <v>ארנונה פיגורים 2010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B9">
            <v>1112000125</v>
          </cell>
          <cell r="C9" t="str">
            <v>125</v>
          </cell>
          <cell r="D9" t="str">
            <v>112000</v>
          </cell>
          <cell r="E9" t="str">
            <v>ארנונה פיגורים 2011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>
            <v>1112000126</v>
          </cell>
          <cell r="C10" t="str">
            <v>126</v>
          </cell>
          <cell r="D10" t="str">
            <v>112000</v>
          </cell>
          <cell r="E10" t="str">
            <v>ארנונה פיגורים 2012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>
            <v>1112000127</v>
          </cell>
          <cell r="C11" t="str">
            <v>127</v>
          </cell>
          <cell r="D11" t="str">
            <v>112000</v>
          </cell>
          <cell r="E11" t="str">
            <v>ארנונה פיגורים 2013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>
            <v>1112000128</v>
          </cell>
          <cell r="C12" t="str">
            <v>128</v>
          </cell>
          <cell r="D12" t="str">
            <v>112000</v>
          </cell>
          <cell r="E12" t="str">
            <v>ארנונה פיגורים 2014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B13">
            <v>1112000129</v>
          </cell>
          <cell r="C13" t="str">
            <v>129</v>
          </cell>
          <cell r="D13" t="str">
            <v>112000</v>
          </cell>
          <cell r="E13" t="str">
            <v>ארנונה פיגורים 2015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B14">
            <v>1112000130</v>
          </cell>
          <cell r="C14" t="str">
            <v>130</v>
          </cell>
          <cell r="D14" t="str">
            <v>112000</v>
          </cell>
          <cell r="E14" t="str">
            <v>ארנונה פיגורים 2016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>
            <v>1115000100</v>
          </cell>
          <cell r="C15" t="str">
            <v>100</v>
          </cell>
          <cell r="D15" t="str">
            <v>115000</v>
          </cell>
          <cell r="E15" t="str">
            <v>הנחות לזכאים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2556000</v>
          </cell>
          <cell r="Q15">
            <v>2800000</v>
          </cell>
          <cell r="R15">
            <v>3360000</v>
          </cell>
          <cell r="S15">
            <v>0</v>
          </cell>
          <cell r="T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 t="str">
            <v>מיסים</v>
          </cell>
          <cell r="F16">
            <v>6820000</v>
          </cell>
          <cell r="G16">
            <v>5594000</v>
          </cell>
          <cell r="H16">
            <v>6474000</v>
          </cell>
          <cell r="I16">
            <v>7100000</v>
          </cell>
          <cell r="J16" t="e">
            <v>#REF!</v>
          </cell>
          <cell r="K16" t="e">
            <v>#REF!</v>
          </cell>
          <cell r="L16">
            <v>6800000</v>
          </cell>
          <cell r="M16">
            <v>6800000</v>
          </cell>
          <cell r="N16">
            <v>7000000</v>
          </cell>
          <cell r="O16">
            <v>4670000</v>
          </cell>
          <cell r="P16">
            <v>9447000</v>
          </cell>
          <cell r="Q16">
            <v>7650000</v>
          </cell>
          <cell r="R16">
            <v>9710000</v>
          </cell>
          <cell r="S16">
            <v>0</v>
          </cell>
          <cell r="T16">
            <v>1</v>
          </cell>
        </row>
        <row r="17">
          <cell r="B17">
            <v>1121000290</v>
          </cell>
          <cell r="C17" t="str">
            <v>290</v>
          </cell>
          <cell r="D17" t="str">
            <v>121000</v>
          </cell>
          <cell r="E17" t="str">
            <v>תעודות ואישורים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3000</v>
          </cell>
          <cell r="Q17">
            <v>1750</v>
          </cell>
          <cell r="R17">
            <v>2000</v>
          </cell>
          <cell r="S17">
            <v>0</v>
          </cell>
          <cell r="T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 t="str">
            <v>אגרות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3000</v>
          </cell>
          <cell r="Q18">
            <v>1750</v>
          </cell>
          <cell r="R18">
            <v>2000</v>
          </cell>
          <cell r="S18">
            <v>0</v>
          </cell>
          <cell r="T18">
            <v>1</v>
          </cell>
        </row>
        <row r="19">
          <cell r="B19">
            <v>0</v>
          </cell>
          <cell r="C19">
            <v>0</v>
          </cell>
          <cell r="D19">
            <v>0</v>
          </cell>
          <cell r="E19" t="str">
            <v>סה"כ מיסים ואגרות</v>
          </cell>
          <cell r="F19">
            <v>6820000</v>
          </cell>
          <cell r="G19">
            <v>5594000</v>
          </cell>
          <cell r="H19">
            <v>6474000</v>
          </cell>
          <cell r="I19">
            <v>7100000</v>
          </cell>
          <cell r="J19" t="e">
            <v>#REF!</v>
          </cell>
          <cell r="K19" t="e">
            <v>#REF!</v>
          </cell>
          <cell r="L19">
            <v>6800000</v>
          </cell>
          <cell r="M19">
            <v>6800000</v>
          </cell>
          <cell r="N19">
            <v>7000000</v>
          </cell>
          <cell r="O19">
            <v>4670000</v>
          </cell>
          <cell r="P19">
            <v>9450000</v>
          </cell>
          <cell r="Q19">
            <v>7651750</v>
          </cell>
          <cell r="R19">
            <v>9712000</v>
          </cell>
          <cell r="S19">
            <v>0</v>
          </cell>
          <cell r="T19">
            <v>1</v>
          </cell>
        </row>
        <row r="20">
          <cell r="B20">
            <v>0</v>
          </cell>
          <cell r="C20" t="str">
            <v>מענק כללי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1</v>
          </cell>
        </row>
        <row r="21">
          <cell r="B21">
            <v>1190000910</v>
          </cell>
          <cell r="C21" t="str">
            <v>910</v>
          </cell>
          <cell r="D21" t="str">
            <v>190000</v>
          </cell>
          <cell r="E21" t="str">
            <v>מענק כללי</v>
          </cell>
          <cell r="F21">
            <v>9964550</v>
          </cell>
          <cell r="G21">
            <v>8240000</v>
          </cell>
          <cell r="H21">
            <v>10038710</v>
          </cell>
          <cell r="I21">
            <v>10038710</v>
          </cell>
          <cell r="J21">
            <v>5974163.4166666633</v>
          </cell>
          <cell r="K21">
            <v>10241422.999999968</v>
          </cell>
          <cell r="L21">
            <v>10241423</v>
          </cell>
          <cell r="M21">
            <v>10241000</v>
          </cell>
          <cell r="N21">
            <v>10241000</v>
          </cell>
          <cell r="O21">
            <v>6829000</v>
          </cell>
          <cell r="P21">
            <v>9992000</v>
          </cell>
          <cell r="Q21">
            <v>10780000</v>
          </cell>
          <cell r="R21">
            <v>12936000</v>
          </cell>
          <cell r="S21">
            <v>0</v>
          </cell>
          <cell r="T21">
            <v>1</v>
          </cell>
        </row>
        <row r="22">
          <cell r="B22">
            <v>0</v>
          </cell>
          <cell r="C22">
            <v>0</v>
          </cell>
          <cell r="D22">
            <v>0</v>
          </cell>
          <cell r="E22" t="str">
            <v xml:space="preserve">מענק כללי </v>
          </cell>
          <cell r="F22">
            <v>9964550</v>
          </cell>
          <cell r="G22">
            <v>8240000</v>
          </cell>
          <cell r="H22">
            <v>10038710</v>
          </cell>
          <cell r="I22">
            <v>10038710</v>
          </cell>
          <cell r="J22">
            <v>5974163.4166666633</v>
          </cell>
          <cell r="K22">
            <v>10241422.999999968</v>
          </cell>
          <cell r="L22">
            <v>10241423</v>
          </cell>
          <cell r="M22">
            <v>10241000</v>
          </cell>
          <cell r="N22">
            <v>10241000</v>
          </cell>
          <cell r="O22">
            <v>6829000</v>
          </cell>
          <cell r="P22">
            <v>9992000</v>
          </cell>
          <cell r="Q22">
            <v>10780000</v>
          </cell>
          <cell r="R22">
            <v>12936000</v>
          </cell>
          <cell r="S22">
            <v>0</v>
          </cell>
          <cell r="T22">
            <v>1</v>
          </cell>
        </row>
        <row r="23">
          <cell r="B23">
            <v>0</v>
          </cell>
          <cell r="C23" t="str">
            <v>מענק מיוחד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</row>
        <row r="24">
          <cell r="B24">
            <v>1196000910</v>
          </cell>
          <cell r="C24" t="str">
            <v>910</v>
          </cell>
          <cell r="D24" t="str">
            <v>196000</v>
          </cell>
          <cell r="E24" t="str">
            <v>מענק מותנה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1689000</v>
          </cell>
          <cell r="Q24">
            <v>1689270.2</v>
          </cell>
          <cell r="R24">
            <v>1689000</v>
          </cell>
          <cell r="S24">
            <v>0</v>
          </cell>
          <cell r="T24">
            <v>0</v>
          </cell>
        </row>
        <row r="25">
          <cell r="B25">
            <v>1191000910</v>
          </cell>
          <cell r="C25" t="str">
            <v>910</v>
          </cell>
          <cell r="D25" t="str">
            <v>191000</v>
          </cell>
          <cell r="E25" t="str">
            <v>משרד הפנים שונות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298000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>
            <v>1190000920</v>
          </cell>
          <cell r="C26" t="str">
            <v>920</v>
          </cell>
          <cell r="D26" t="str">
            <v>190000</v>
          </cell>
          <cell r="E26" t="str">
            <v>תקבולים ממשרד הפנים</v>
          </cell>
          <cell r="F26">
            <v>0</v>
          </cell>
          <cell r="G26">
            <v>161696</v>
          </cell>
          <cell r="H26">
            <v>161696</v>
          </cell>
          <cell r="I26">
            <v>0</v>
          </cell>
          <cell r="J26">
            <v>1370249.9999999993</v>
          </cell>
          <cell r="K26">
            <v>2349000</v>
          </cell>
          <cell r="L26">
            <v>2349000</v>
          </cell>
          <cell r="M26">
            <v>2249000</v>
          </cell>
          <cell r="N26">
            <v>2249000</v>
          </cell>
          <cell r="O26">
            <v>1499333</v>
          </cell>
          <cell r="P26">
            <v>0</v>
          </cell>
          <cell r="Q26">
            <v>226425</v>
          </cell>
          <cell r="R26">
            <v>250000</v>
          </cell>
          <cell r="S26">
            <v>0</v>
          </cell>
          <cell r="T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 t="str">
            <v>מענק מיוחד</v>
          </cell>
          <cell r="F27">
            <v>0</v>
          </cell>
          <cell r="G27">
            <v>161696</v>
          </cell>
          <cell r="H27">
            <v>161696</v>
          </cell>
          <cell r="I27">
            <v>0</v>
          </cell>
          <cell r="J27">
            <v>1370249.9999999993</v>
          </cell>
          <cell r="K27">
            <v>2349000</v>
          </cell>
          <cell r="L27">
            <v>2349000</v>
          </cell>
          <cell r="M27">
            <v>2249000</v>
          </cell>
          <cell r="N27">
            <v>2249000</v>
          </cell>
          <cell r="O27">
            <v>1499333</v>
          </cell>
          <cell r="P27">
            <v>1987000</v>
          </cell>
          <cell r="Q27">
            <v>1915695.2</v>
          </cell>
          <cell r="R27">
            <v>1939000</v>
          </cell>
          <cell r="S27">
            <v>0</v>
          </cell>
          <cell r="T27">
            <v>1</v>
          </cell>
        </row>
        <row r="28">
          <cell r="B28">
            <v>0</v>
          </cell>
          <cell r="C28">
            <v>0</v>
          </cell>
          <cell r="D28">
            <v>0</v>
          </cell>
          <cell r="E28" t="str">
            <v>סה"כ מענקים ומיסים</v>
          </cell>
          <cell r="F28">
            <v>16784550</v>
          </cell>
          <cell r="G28">
            <v>13995696</v>
          </cell>
          <cell r="H28">
            <v>16674406</v>
          </cell>
          <cell r="I28">
            <v>17138710</v>
          </cell>
          <cell r="J28" t="e">
            <v>#REF!</v>
          </cell>
          <cell r="K28" t="e">
            <v>#REF!</v>
          </cell>
          <cell r="L28">
            <v>19390423</v>
          </cell>
          <cell r="M28">
            <v>19290000</v>
          </cell>
          <cell r="N28">
            <v>19490000</v>
          </cell>
          <cell r="O28">
            <v>12998333</v>
          </cell>
          <cell r="P28">
            <v>21429000</v>
          </cell>
          <cell r="Q28">
            <v>20347445.199999999</v>
          </cell>
          <cell r="R28">
            <v>24587000</v>
          </cell>
          <cell r="S28">
            <v>0</v>
          </cell>
          <cell r="T28">
            <v>1</v>
          </cell>
        </row>
        <row r="29">
          <cell r="B29">
            <v>0</v>
          </cell>
          <cell r="C29" t="str">
            <v>שירותים אחרים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1</v>
          </cell>
        </row>
        <row r="30">
          <cell r="B30">
            <v>1125000290</v>
          </cell>
          <cell r="C30" t="str">
            <v>290</v>
          </cell>
          <cell r="D30" t="str">
            <v>125000</v>
          </cell>
          <cell r="E30" t="str">
            <v>גביית הוצאות אכיפה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108000</v>
          </cell>
          <cell r="Q30">
            <v>65000</v>
          </cell>
          <cell r="R30">
            <v>71000</v>
          </cell>
          <cell r="S30">
            <v>0</v>
          </cell>
          <cell r="T30">
            <v>0</v>
          </cell>
        </row>
        <row r="31">
          <cell r="B31">
            <v>1129000290</v>
          </cell>
          <cell r="C31" t="str">
            <v>290</v>
          </cell>
          <cell r="D31" t="str">
            <v>129000</v>
          </cell>
          <cell r="E31" t="str">
            <v>אגרות מים ובניה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284000</v>
          </cell>
          <cell r="Q31">
            <v>150000</v>
          </cell>
          <cell r="R31">
            <v>180000</v>
          </cell>
          <cell r="S31">
            <v>0</v>
          </cell>
          <cell r="T31">
            <v>0</v>
          </cell>
        </row>
        <row r="32">
          <cell r="B32">
            <v>1129200290</v>
          </cell>
          <cell r="C32" t="str">
            <v>290</v>
          </cell>
          <cell r="D32" t="str">
            <v>129200</v>
          </cell>
          <cell r="E32" t="str">
            <v>היטל ביוב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301000</v>
          </cell>
          <cell r="Q32">
            <v>175000</v>
          </cell>
          <cell r="R32">
            <v>210000</v>
          </cell>
          <cell r="S32">
            <v>0</v>
          </cell>
          <cell r="T32">
            <v>0</v>
          </cell>
        </row>
        <row r="33">
          <cell r="B33">
            <v>1129210290</v>
          </cell>
          <cell r="C33" t="str">
            <v>290</v>
          </cell>
          <cell r="D33" t="str">
            <v>129210</v>
          </cell>
          <cell r="E33" t="str">
            <v>יתרות ביוב 2006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1000</v>
          </cell>
          <cell r="Q33">
            <v>1000</v>
          </cell>
          <cell r="R33">
            <v>1000</v>
          </cell>
          <cell r="S33">
            <v>0</v>
          </cell>
          <cell r="T33">
            <v>0</v>
          </cell>
        </row>
        <row r="34">
          <cell r="B34">
            <v>1129300290</v>
          </cell>
          <cell r="C34" t="str">
            <v>290</v>
          </cell>
          <cell r="D34" t="str">
            <v>129300</v>
          </cell>
          <cell r="E34" t="str">
            <v>הכנסות שונות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68000</v>
          </cell>
          <cell r="Q34">
            <v>100000</v>
          </cell>
          <cell r="R34">
            <v>120000</v>
          </cell>
          <cell r="S34">
            <v>0</v>
          </cell>
          <cell r="T34">
            <v>0</v>
          </cell>
        </row>
        <row r="35">
          <cell r="B35">
            <v>1129400290</v>
          </cell>
          <cell r="C35" t="str">
            <v>290</v>
          </cell>
          <cell r="D35" t="str">
            <v>129400</v>
          </cell>
          <cell r="E35" t="str">
            <v>אגרת רשיונות ושונות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32000</v>
          </cell>
          <cell r="Q35">
            <v>85000</v>
          </cell>
          <cell r="R35">
            <v>102000</v>
          </cell>
          <cell r="S35">
            <v>0</v>
          </cell>
          <cell r="T35">
            <v>0</v>
          </cell>
        </row>
        <row r="36">
          <cell r="B36">
            <v>1129500290</v>
          </cell>
          <cell r="C36" t="str">
            <v>290</v>
          </cell>
          <cell r="D36" t="str">
            <v>129500</v>
          </cell>
          <cell r="E36" t="str">
            <v>אגרת מים בגבעה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16000</v>
          </cell>
          <cell r="Q36">
            <v>15000</v>
          </cell>
          <cell r="R36">
            <v>18000</v>
          </cell>
          <cell r="S36">
            <v>0</v>
          </cell>
          <cell r="T36">
            <v>0</v>
          </cell>
        </row>
        <row r="37">
          <cell r="B37">
            <v>1129600290</v>
          </cell>
          <cell r="C37" t="str">
            <v>290</v>
          </cell>
          <cell r="D37" t="str">
            <v>129600</v>
          </cell>
          <cell r="E37" t="str">
            <v>ביוב מרכזי בגבעה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155000</v>
          </cell>
          <cell r="Q37">
            <v>145000</v>
          </cell>
          <cell r="R37">
            <v>174000</v>
          </cell>
          <cell r="S37">
            <v>0</v>
          </cell>
          <cell r="T37">
            <v>0</v>
          </cell>
        </row>
        <row r="38">
          <cell r="B38">
            <v>1129610290</v>
          </cell>
          <cell r="C38" t="str">
            <v>290</v>
          </cell>
          <cell r="D38" t="str">
            <v>129610</v>
          </cell>
          <cell r="E38" t="str">
            <v>מט"ש הכנסות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112000</v>
          </cell>
          <cell r="R38">
            <v>112000</v>
          </cell>
          <cell r="S38">
            <v>0</v>
          </cell>
          <cell r="T38">
            <v>0</v>
          </cell>
        </row>
        <row r="39">
          <cell r="B39">
            <v>1129700290</v>
          </cell>
          <cell r="C39" t="str">
            <v>290</v>
          </cell>
          <cell r="D39" t="str">
            <v>129700</v>
          </cell>
          <cell r="E39" t="str">
            <v>אגרת בניה בגבעה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136000</v>
          </cell>
          <cell r="Q39">
            <v>100000</v>
          </cell>
          <cell r="R39">
            <v>120000</v>
          </cell>
          <cell r="S39">
            <v>0</v>
          </cell>
          <cell r="T39">
            <v>0</v>
          </cell>
        </row>
        <row r="40">
          <cell r="B40">
            <v>1129800290</v>
          </cell>
          <cell r="C40" t="str">
            <v>290</v>
          </cell>
          <cell r="D40" t="str">
            <v>129800</v>
          </cell>
          <cell r="E40" t="str">
            <v>אישורים חברת חשמל גבעה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7360</v>
          </cell>
          <cell r="R40">
            <v>0</v>
          </cell>
          <cell r="S40">
            <v>0</v>
          </cell>
          <cell r="T40">
            <v>0</v>
          </cell>
        </row>
        <row r="41">
          <cell r="B41">
            <v>1129900290</v>
          </cell>
          <cell r="C41" t="str">
            <v>290</v>
          </cell>
          <cell r="D41" t="str">
            <v>129900</v>
          </cell>
          <cell r="E41" t="str">
            <v>השת" הכנת תוכנית מפורתת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B42">
            <v>1131690290</v>
          </cell>
          <cell r="C42" t="str">
            <v>290</v>
          </cell>
          <cell r="D42" t="str">
            <v>131690</v>
          </cell>
          <cell r="E42" t="str">
            <v>היטל השבחה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B43">
            <v>1157000690</v>
          </cell>
          <cell r="C43" t="str">
            <v>690</v>
          </cell>
          <cell r="D43" t="str">
            <v>157000</v>
          </cell>
          <cell r="E43" t="str">
            <v>החזר ביטוח לאומי תאונת עב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15000</v>
          </cell>
          <cell r="Q43">
            <v>30959</v>
          </cell>
          <cell r="R43">
            <v>35000</v>
          </cell>
          <cell r="S43">
            <v>0</v>
          </cell>
          <cell r="T43">
            <v>0</v>
          </cell>
        </row>
        <row r="44">
          <cell r="B44">
            <v>1157000740</v>
          </cell>
          <cell r="C44" t="str">
            <v>740</v>
          </cell>
          <cell r="D44" t="str">
            <v>157000</v>
          </cell>
          <cell r="E44" t="str">
            <v>השת" מפעל הפיס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>
            <v>1160000290</v>
          </cell>
          <cell r="C45" t="str">
            <v>290</v>
          </cell>
          <cell r="D45" t="str">
            <v>160000</v>
          </cell>
          <cell r="E45" t="str">
            <v>הכנסות מריבית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0.48</v>
          </cell>
          <cell r="R45">
            <v>0</v>
          </cell>
          <cell r="S45">
            <v>0</v>
          </cell>
          <cell r="T45">
            <v>0</v>
          </cell>
        </row>
        <row r="46">
          <cell r="B46">
            <v>1197000910</v>
          </cell>
          <cell r="C46" t="str">
            <v>910</v>
          </cell>
          <cell r="D46" t="str">
            <v>197000</v>
          </cell>
          <cell r="E46" t="str">
            <v>מ.הפנים אבטחה מאויים 6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B47">
            <v>1212300620</v>
          </cell>
          <cell r="C47" t="str">
            <v>620</v>
          </cell>
          <cell r="D47" t="str">
            <v>212300</v>
          </cell>
          <cell r="E47" t="str">
            <v>מכירת עגלות אשפה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1200</v>
          </cell>
          <cell r="R47">
            <v>2000</v>
          </cell>
          <cell r="S47">
            <v>0</v>
          </cell>
          <cell r="T47">
            <v>0</v>
          </cell>
        </row>
        <row r="48">
          <cell r="B48">
            <v>1213200920</v>
          </cell>
          <cell r="C48" t="str">
            <v>920</v>
          </cell>
          <cell r="D48" t="str">
            <v>213200</v>
          </cell>
          <cell r="E48" t="str">
            <v>אגרת רשיונות עסקים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</row>
        <row r="49">
          <cell r="B49">
            <v>1216900290</v>
          </cell>
          <cell r="C49" t="str">
            <v>290</v>
          </cell>
          <cell r="D49" t="str">
            <v>216900</v>
          </cell>
          <cell r="E49" t="str">
            <v>היטל השבחה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500000</v>
          </cell>
          <cell r="Q49">
            <v>400000</v>
          </cell>
          <cell r="R49">
            <v>200000</v>
          </cell>
          <cell r="S49">
            <v>0</v>
          </cell>
          <cell r="T49">
            <v>0</v>
          </cell>
        </row>
        <row r="50">
          <cell r="B50">
            <v>1221000900</v>
          </cell>
          <cell r="C50" t="str">
            <v>900</v>
          </cell>
          <cell r="D50" t="str">
            <v>221000</v>
          </cell>
          <cell r="E50" t="str">
            <v>משרד לבטחון פנים- שמירת בתי"ס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B51">
            <v>1221001900</v>
          </cell>
          <cell r="C51" t="str">
            <v>900</v>
          </cell>
          <cell r="D51" t="str">
            <v>221001</v>
          </cell>
          <cell r="E51" t="str">
            <v>משרד לביטחון פנים עיר ללא אלימ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237000</v>
          </cell>
          <cell r="Q51">
            <v>324397</v>
          </cell>
          <cell r="R51">
            <v>380000</v>
          </cell>
          <cell r="S51">
            <v>0</v>
          </cell>
          <cell r="T51">
            <v>0</v>
          </cell>
        </row>
        <row r="52">
          <cell r="B52">
            <v>1242210290</v>
          </cell>
          <cell r="C52" t="str">
            <v>290</v>
          </cell>
          <cell r="D52" t="str">
            <v>242210</v>
          </cell>
          <cell r="E52" t="str">
            <v>פריצת דרכים בגבעה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150000</v>
          </cell>
          <cell r="Q52">
            <v>191180.59</v>
          </cell>
          <cell r="R52">
            <v>220000</v>
          </cell>
          <cell r="S52">
            <v>0</v>
          </cell>
          <cell r="T52">
            <v>0</v>
          </cell>
        </row>
        <row r="53">
          <cell r="B53">
            <v>1244000790</v>
          </cell>
          <cell r="C53" t="str">
            <v>790</v>
          </cell>
          <cell r="D53" t="str">
            <v>244000</v>
          </cell>
          <cell r="E53" t="str">
            <v>בטיחות בדרכים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35000</v>
          </cell>
          <cell r="Q53">
            <v>14800</v>
          </cell>
          <cell r="R53">
            <v>20000</v>
          </cell>
          <cell r="S53">
            <v>0</v>
          </cell>
          <cell r="T53">
            <v>0</v>
          </cell>
        </row>
        <row r="54">
          <cell r="B54">
            <v>1244100210</v>
          </cell>
          <cell r="C54" t="str">
            <v>210</v>
          </cell>
          <cell r="D54" t="str">
            <v>244100</v>
          </cell>
          <cell r="E54" t="str">
            <v>כופר חניה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20000</v>
          </cell>
          <cell r="Q54">
            <v>12120</v>
          </cell>
          <cell r="R54">
            <v>15000</v>
          </cell>
          <cell r="S54">
            <v>0</v>
          </cell>
          <cell r="T54">
            <v>0</v>
          </cell>
        </row>
        <row r="55">
          <cell r="B55">
            <v>1249000540</v>
          </cell>
          <cell r="C55" t="str">
            <v>540</v>
          </cell>
          <cell r="D55" t="str">
            <v>249000</v>
          </cell>
          <cell r="E55" t="str">
            <v>נכסים צבוריים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B56">
            <v>1296000960</v>
          </cell>
          <cell r="C56" t="str">
            <v>960</v>
          </cell>
          <cell r="D56" t="str">
            <v>296000</v>
          </cell>
          <cell r="E56" t="str">
            <v>השת" משרד חקלאות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 t="str">
            <v>שירותים אחרים</v>
          </cell>
          <cell r="F57" t="e">
            <v>#REF!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>
            <v>2058000</v>
          </cell>
          <cell r="Q57">
            <v>1930027.07</v>
          </cell>
          <cell r="R57">
            <v>1980000</v>
          </cell>
          <cell r="S57">
            <v>0</v>
          </cell>
          <cell r="T57">
            <v>1</v>
          </cell>
        </row>
        <row r="58">
          <cell r="B58">
            <v>0</v>
          </cell>
          <cell r="C58" t="str">
            <v>מחלקת חינוך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</row>
        <row r="59">
          <cell r="B59">
            <v>1312200920</v>
          </cell>
          <cell r="C59" t="str">
            <v>920</v>
          </cell>
          <cell r="D59" t="str">
            <v>312200</v>
          </cell>
          <cell r="E59" t="str">
            <v>שכ"ל על יסודי</v>
          </cell>
          <cell r="F59">
            <v>270000</v>
          </cell>
          <cell r="G59">
            <v>263968.73</v>
          </cell>
          <cell r="H59">
            <v>316762.47599999997</v>
          </cell>
          <cell r="I59">
            <v>316762.47599999997</v>
          </cell>
          <cell r="J59" t="e">
            <v>#REF!</v>
          </cell>
          <cell r="K59" t="e">
            <v>#REF!</v>
          </cell>
          <cell r="L59">
            <v>300000</v>
          </cell>
          <cell r="M59">
            <v>250000</v>
          </cell>
          <cell r="N59">
            <v>300000</v>
          </cell>
          <cell r="O59">
            <v>145988.82</v>
          </cell>
          <cell r="P59">
            <v>8153000</v>
          </cell>
          <cell r="Q59">
            <v>7031560.8899999997</v>
          </cell>
          <cell r="R59">
            <v>8438000</v>
          </cell>
          <cell r="S59">
            <v>0</v>
          </cell>
          <cell r="T59">
            <v>1</v>
          </cell>
        </row>
        <row r="60">
          <cell r="B60">
            <v>1312210920</v>
          </cell>
          <cell r="C60" t="str">
            <v>920</v>
          </cell>
          <cell r="D60" t="str">
            <v>312210</v>
          </cell>
          <cell r="E60" t="str">
            <v>מענק השתלמות</v>
          </cell>
          <cell r="F60">
            <v>1090000</v>
          </cell>
          <cell r="G60">
            <v>775630.89</v>
          </cell>
          <cell r="H60">
            <v>1300757.068</v>
          </cell>
          <cell r="I60">
            <v>930757.06799999997</v>
          </cell>
          <cell r="J60" t="e">
            <v>#REF!</v>
          </cell>
          <cell r="K60" t="e">
            <v>#REF!</v>
          </cell>
          <cell r="L60">
            <v>1100000</v>
          </cell>
          <cell r="M60">
            <v>900000</v>
          </cell>
          <cell r="N60">
            <v>1250000</v>
          </cell>
          <cell r="O60">
            <v>817191.01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</v>
          </cell>
        </row>
        <row r="61">
          <cell r="B61">
            <v>1312220920</v>
          </cell>
          <cell r="C61" t="str">
            <v>920</v>
          </cell>
          <cell r="D61" t="str">
            <v>312220</v>
          </cell>
          <cell r="E61" t="str">
            <v>קרן השתלמות לשכ"ל</v>
          </cell>
          <cell r="F61">
            <v>120000</v>
          </cell>
          <cell r="G61">
            <v>122149.44</v>
          </cell>
          <cell r="H61">
            <v>150164</v>
          </cell>
          <cell r="I61">
            <v>150164</v>
          </cell>
          <cell r="J61" t="e">
            <v>#REF!</v>
          </cell>
          <cell r="K61" t="e">
            <v>#REF!</v>
          </cell>
          <cell r="L61">
            <v>200000</v>
          </cell>
          <cell r="M61">
            <v>190000</v>
          </cell>
          <cell r="N61">
            <v>210000</v>
          </cell>
          <cell r="O61" t="e">
            <v>#N/A</v>
          </cell>
          <cell r="P61">
            <v>527000</v>
          </cell>
          <cell r="Q61">
            <v>530396.04</v>
          </cell>
          <cell r="R61">
            <v>637000</v>
          </cell>
          <cell r="S61">
            <v>0</v>
          </cell>
          <cell r="T61">
            <v>1</v>
          </cell>
        </row>
        <row r="62">
          <cell r="B62">
            <v>1312300290</v>
          </cell>
          <cell r="C62" t="str">
            <v>290</v>
          </cell>
          <cell r="D62" t="str">
            <v>312300</v>
          </cell>
          <cell r="E62" t="str">
            <v>טרום חובה</v>
          </cell>
          <cell r="F62">
            <v>120000</v>
          </cell>
          <cell r="G62">
            <v>10719.2</v>
          </cell>
          <cell r="H62">
            <v>48682</v>
          </cell>
          <cell r="I62">
            <v>48682</v>
          </cell>
          <cell r="J62" t="e">
            <v>#REF!</v>
          </cell>
          <cell r="K62" t="e">
            <v>#REF!</v>
          </cell>
          <cell r="L62">
            <v>100000</v>
          </cell>
          <cell r="M62">
            <v>108000</v>
          </cell>
          <cell r="N62">
            <v>108000</v>
          </cell>
          <cell r="O62" t="e">
            <v>#N/A</v>
          </cell>
          <cell r="P62">
            <v>90000</v>
          </cell>
          <cell r="Q62">
            <v>60800</v>
          </cell>
          <cell r="R62">
            <v>73000</v>
          </cell>
          <cell r="S62">
            <v>0</v>
          </cell>
          <cell r="T62">
            <v>1</v>
          </cell>
        </row>
        <row r="63">
          <cell r="B63">
            <v>1312310290</v>
          </cell>
          <cell r="C63" t="str">
            <v>290</v>
          </cell>
          <cell r="D63" t="str">
            <v>312310</v>
          </cell>
          <cell r="E63" t="str">
            <v>השת" נסיעות אלפרוק</v>
          </cell>
          <cell r="F63">
            <v>4000</v>
          </cell>
          <cell r="G63">
            <v>3626.16</v>
          </cell>
          <cell r="H63">
            <v>4351.3919999999998</v>
          </cell>
          <cell r="I63">
            <v>4351.3919999999998</v>
          </cell>
          <cell r="J63" t="e">
            <v>#REF!</v>
          </cell>
          <cell r="K63" t="e">
            <v>#REF!</v>
          </cell>
          <cell r="L63">
            <v>4000</v>
          </cell>
          <cell r="M63">
            <v>4000</v>
          </cell>
          <cell r="N63">
            <v>4000</v>
          </cell>
          <cell r="O63" t="e">
            <v>#N/A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1</v>
          </cell>
        </row>
        <row r="64">
          <cell r="B64">
            <v>0</v>
          </cell>
          <cell r="C64">
            <v>0</v>
          </cell>
          <cell r="D64">
            <v>0</v>
          </cell>
          <cell r="E64" t="str">
            <v>גני ילדים</v>
          </cell>
          <cell r="F64">
            <v>1604000</v>
          </cell>
          <cell r="G64">
            <v>1176094.42</v>
          </cell>
          <cell r="H64">
            <v>1820716.936</v>
          </cell>
          <cell r="I64">
            <v>1450716.936</v>
          </cell>
          <cell r="J64" t="e">
            <v>#REF!</v>
          </cell>
          <cell r="K64" t="e">
            <v>#REF!</v>
          </cell>
          <cell r="L64">
            <v>1704000</v>
          </cell>
          <cell r="M64">
            <v>1452000</v>
          </cell>
          <cell r="N64">
            <v>1872000</v>
          </cell>
          <cell r="O64" t="e">
            <v>#N/A</v>
          </cell>
          <cell r="P64">
            <v>8770000</v>
          </cell>
          <cell r="Q64">
            <v>7622756.9299999997</v>
          </cell>
          <cell r="R64">
            <v>9148000</v>
          </cell>
          <cell r="S64">
            <v>0</v>
          </cell>
          <cell r="T64">
            <v>1</v>
          </cell>
        </row>
        <row r="65">
          <cell r="B65">
            <v>1313200740</v>
          </cell>
          <cell r="C65" t="str">
            <v>740</v>
          </cell>
          <cell r="D65" t="str">
            <v>313200</v>
          </cell>
          <cell r="E65" t="str">
            <v>מפעל הפיס ריהוט</v>
          </cell>
          <cell r="F65">
            <v>10000</v>
          </cell>
          <cell r="G65">
            <v>25000</v>
          </cell>
          <cell r="H65">
            <v>30000</v>
          </cell>
          <cell r="I65">
            <v>30000</v>
          </cell>
          <cell r="J65" t="e">
            <v>#REF!</v>
          </cell>
          <cell r="K65" t="e">
            <v>#REF!</v>
          </cell>
          <cell r="L65">
            <v>30000</v>
          </cell>
          <cell r="M65">
            <v>41000</v>
          </cell>
          <cell r="N65">
            <v>41000</v>
          </cell>
          <cell r="O65" t="e">
            <v>#N/A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</v>
          </cell>
        </row>
        <row r="66">
          <cell r="B66">
            <v>1313200920</v>
          </cell>
          <cell r="C66" t="str">
            <v>920</v>
          </cell>
          <cell r="D66" t="str">
            <v>313200</v>
          </cell>
          <cell r="E66" t="str">
            <v>עוזרות לגננות</v>
          </cell>
          <cell r="F66">
            <v>0</v>
          </cell>
          <cell r="G66">
            <v>69500.960000000006</v>
          </cell>
          <cell r="H66">
            <v>83401.152000000002</v>
          </cell>
          <cell r="I66">
            <v>83401.152000000002</v>
          </cell>
          <cell r="J66" t="e">
            <v>#REF!</v>
          </cell>
          <cell r="K66" t="e">
            <v>#REF!</v>
          </cell>
          <cell r="L66">
            <v>83401</v>
          </cell>
          <cell r="M66">
            <v>0</v>
          </cell>
          <cell r="N66">
            <v>0</v>
          </cell>
          <cell r="O66">
            <v>0</v>
          </cell>
          <cell r="P66">
            <v>1019000</v>
          </cell>
          <cell r="Q66">
            <v>761197.42</v>
          </cell>
          <cell r="R66">
            <v>980000</v>
          </cell>
          <cell r="S66">
            <v>0</v>
          </cell>
          <cell r="T66">
            <v>1</v>
          </cell>
        </row>
        <row r="67">
          <cell r="B67">
            <v>1313210920</v>
          </cell>
          <cell r="C67" t="str">
            <v>920</v>
          </cell>
          <cell r="D67" t="str">
            <v>313210</v>
          </cell>
          <cell r="E67" t="str">
            <v>גננות עובדות מדינה</v>
          </cell>
          <cell r="F67">
            <v>425000</v>
          </cell>
          <cell r="G67">
            <v>273419.33</v>
          </cell>
          <cell r="H67">
            <v>328103.196</v>
          </cell>
          <cell r="I67">
            <v>70000</v>
          </cell>
          <cell r="J67" t="e">
            <v>#REF!</v>
          </cell>
          <cell r="K67" t="e">
            <v>#REF!</v>
          </cell>
          <cell r="L67">
            <v>70000</v>
          </cell>
          <cell r="M67">
            <v>60000</v>
          </cell>
          <cell r="N67">
            <v>80000</v>
          </cell>
          <cell r="O67">
            <v>287834.90000000002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</v>
          </cell>
        </row>
        <row r="68">
          <cell r="B68">
            <v>1313220920</v>
          </cell>
          <cell r="C68" t="str">
            <v>920</v>
          </cell>
          <cell r="D68" t="str">
            <v>313220</v>
          </cell>
          <cell r="E68" t="str">
            <v>שכר דירה</v>
          </cell>
          <cell r="F68">
            <v>0</v>
          </cell>
          <cell r="G68">
            <v>0</v>
          </cell>
          <cell r="H68">
            <v>0</v>
          </cell>
          <cell r="I68">
            <v>450000</v>
          </cell>
          <cell r="J68" t="e">
            <v>#REF!</v>
          </cell>
          <cell r="K68" t="e">
            <v>#REF!</v>
          </cell>
          <cell r="L68">
            <v>450000</v>
          </cell>
          <cell r="M68">
            <v>452000</v>
          </cell>
          <cell r="N68">
            <v>490000</v>
          </cell>
          <cell r="O68">
            <v>55297.2</v>
          </cell>
          <cell r="P68">
            <v>25000</v>
          </cell>
          <cell r="Q68">
            <v>0</v>
          </cell>
          <cell r="R68">
            <v>0</v>
          </cell>
          <cell r="S68">
            <v>0</v>
          </cell>
          <cell r="T68">
            <v>1</v>
          </cell>
        </row>
        <row r="69">
          <cell r="B69">
            <v>1313230920</v>
          </cell>
          <cell r="C69" t="str">
            <v>920</v>
          </cell>
          <cell r="D69" t="str">
            <v>313230</v>
          </cell>
          <cell r="E69" t="str">
            <v>השת" ריהוט מ.חנוך</v>
          </cell>
          <cell r="F69">
            <v>0</v>
          </cell>
          <cell r="G69">
            <v>0</v>
          </cell>
          <cell r="H69">
            <v>0</v>
          </cell>
          <cell r="I69">
            <v>200000</v>
          </cell>
          <cell r="J69" t="e">
            <v>#REF!</v>
          </cell>
          <cell r="K69">
            <v>200000</v>
          </cell>
          <cell r="L69">
            <v>200000</v>
          </cell>
          <cell r="M69">
            <v>76000</v>
          </cell>
          <cell r="N69">
            <v>100000</v>
          </cell>
          <cell r="O69" t="e">
            <v>#N/A</v>
          </cell>
          <cell r="P69">
            <v>11000</v>
          </cell>
          <cell r="Q69">
            <v>0</v>
          </cell>
          <cell r="R69">
            <v>0</v>
          </cell>
          <cell r="S69">
            <v>0</v>
          </cell>
          <cell r="T69">
            <v>1</v>
          </cell>
        </row>
        <row r="70">
          <cell r="B70">
            <v>1313240920</v>
          </cell>
          <cell r="C70" t="str">
            <v>920</v>
          </cell>
          <cell r="D70" t="str">
            <v>313240</v>
          </cell>
          <cell r="E70" t="str">
            <v>תכנית ניצנים - גנ"י</v>
          </cell>
          <cell r="F70">
            <v>0</v>
          </cell>
          <cell r="G70">
            <v>0</v>
          </cell>
          <cell r="H70">
            <v>0</v>
          </cell>
          <cell r="I70">
            <v>81000</v>
          </cell>
          <cell r="J70">
            <v>47325</v>
          </cell>
          <cell r="K70">
            <v>81128.571428571231</v>
          </cell>
          <cell r="L70">
            <v>81000</v>
          </cell>
          <cell r="M70">
            <v>80000</v>
          </cell>
          <cell r="N70">
            <v>80000</v>
          </cell>
          <cell r="O70">
            <v>-3420.73</v>
          </cell>
          <cell r="P70">
            <v>0</v>
          </cell>
          <cell r="Q70">
            <v>909805</v>
          </cell>
          <cell r="R70">
            <v>1320000</v>
          </cell>
          <cell r="S70">
            <v>0</v>
          </cell>
          <cell r="T70">
            <v>1</v>
          </cell>
        </row>
        <row r="71">
          <cell r="B71">
            <v>0</v>
          </cell>
          <cell r="C71">
            <v>0</v>
          </cell>
          <cell r="D71">
            <v>0</v>
          </cell>
          <cell r="E71" t="str">
            <v>חינוך יסודי</v>
          </cell>
          <cell r="F71">
            <v>435000</v>
          </cell>
          <cell r="G71">
            <v>367920.29000000004</v>
          </cell>
          <cell r="H71">
            <v>441504.348</v>
          </cell>
          <cell r="I71">
            <v>914401.152</v>
          </cell>
          <cell r="J71" t="e">
            <v>#REF!</v>
          </cell>
          <cell r="K71" t="e">
            <v>#REF!</v>
          </cell>
          <cell r="L71">
            <v>914401</v>
          </cell>
          <cell r="M71">
            <v>709000</v>
          </cell>
          <cell r="N71">
            <v>791000</v>
          </cell>
          <cell r="O71" t="e">
            <v>#N/A</v>
          </cell>
          <cell r="P71">
            <v>1055000</v>
          </cell>
          <cell r="Q71">
            <v>1671002.42</v>
          </cell>
          <cell r="R71">
            <v>2300000</v>
          </cell>
          <cell r="S71">
            <v>0</v>
          </cell>
          <cell r="T71">
            <v>1</v>
          </cell>
        </row>
        <row r="72">
          <cell r="B72">
            <v>1313300920</v>
          </cell>
          <cell r="C72" t="str">
            <v>920</v>
          </cell>
          <cell r="D72" t="str">
            <v>313300</v>
          </cell>
          <cell r="E72" t="str">
            <v>סייעת שניה בגנ"י</v>
          </cell>
          <cell r="F72">
            <v>620000</v>
          </cell>
          <cell r="G72">
            <v>235521.74</v>
          </cell>
          <cell r="H72">
            <v>235521.74</v>
          </cell>
          <cell r="I72">
            <v>156000</v>
          </cell>
          <cell r="J72" t="e">
            <v>#REF!</v>
          </cell>
          <cell r="K72" t="e">
            <v>#REF!</v>
          </cell>
          <cell r="L72">
            <v>100000</v>
          </cell>
          <cell r="M72">
            <v>167000</v>
          </cell>
          <cell r="N72">
            <v>167000</v>
          </cell>
          <cell r="O72">
            <v>310244.73</v>
          </cell>
          <cell r="P72">
            <v>1604000</v>
          </cell>
          <cell r="Q72">
            <v>1200705.96</v>
          </cell>
          <cell r="R72">
            <v>1441000</v>
          </cell>
          <cell r="S72">
            <v>0</v>
          </cell>
          <cell r="T72">
            <v>1</v>
          </cell>
        </row>
        <row r="73">
          <cell r="B73">
            <v>1313330920</v>
          </cell>
          <cell r="C73" t="str">
            <v>920</v>
          </cell>
          <cell r="D73" t="str">
            <v>313330</v>
          </cell>
          <cell r="E73" t="str">
            <v>ניהול עצמי משופר א-ו</v>
          </cell>
          <cell r="F73">
            <v>135000</v>
          </cell>
          <cell r="G73">
            <v>87115.63</v>
          </cell>
          <cell r="H73">
            <v>104538.75600000001</v>
          </cell>
          <cell r="I73">
            <v>104538.75600000001</v>
          </cell>
          <cell r="J73" t="e">
            <v>#REF!</v>
          </cell>
          <cell r="K73" t="e">
            <v>#REF!</v>
          </cell>
          <cell r="L73">
            <v>35000</v>
          </cell>
          <cell r="M73">
            <v>32300</v>
          </cell>
          <cell r="N73">
            <v>32300</v>
          </cell>
          <cell r="O73" t="e">
            <v>#N/A</v>
          </cell>
          <cell r="P73">
            <v>0</v>
          </cell>
          <cell r="Q73">
            <v>1083874.8700000001</v>
          </cell>
          <cell r="R73">
            <v>1301000</v>
          </cell>
          <cell r="S73">
            <v>0</v>
          </cell>
          <cell r="T73">
            <v>1</v>
          </cell>
        </row>
        <row r="74">
          <cell r="B74">
            <v>1313340920</v>
          </cell>
          <cell r="C74" t="str">
            <v>920</v>
          </cell>
          <cell r="D74" t="str">
            <v>313340</v>
          </cell>
          <cell r="E74" t="str">
            <v>עובד סיוע משופר א-ח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1000</v>
          </cell>
          <cell r="Q74">
            <v>273910.03999999998</v>
          </cell>
          <cell r="R74">
            <v>329000</v>
          </cell>
          <cell r="S74">
            <v>0</v>
          </cell>
          <cell r="T74">
            <v>0</v>
          </cell>
        </row>
        <row r="75">
          <cell r="B75">
            <v>1313350920</v>
          </cell>
          <cell r="C75" t="str">
            <v>920</v>
          </cell>
          <cell r="D75" t="str">
            <v>313350</v>
          </cell>
          <cell r="E75" t="str">
            <v>תוספת דפרנציאלית נ. עצמי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363771.1</v>
          </cell>
          <cell r="R75">
            <v>437000</v>
          </cell>
          <cell r="S75">
            <v>0</v>
          </cell>
          <cell r="T75">
            <v>0</v>
          </cell>
        </row>
        <row r="76">
          <cell r="B76">
            <v>1313360920</v>
          </cell>
          <cell r="C76" t="str">
            <v>920</v>
          </cell>
          <cell r="D76" t="str">
            <v>313360</v>
          </cell>
          <cell r="E76" t="str">
            <v>גמול מנהליות נ.עצמי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1000</v>
          </cell>
          <cell r="Q76">
            <v>7444.02</v>
          </cell>
          <cell r="R76">
            <v>9000</v>
          </cell>
          <cell r="S76">
            <v>0</v>
          </cell>
          <cell r="T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 t="str">
            <v>חינוך מיוחד</v>
          </cell>
          <cell r="F77">
            <v>755000</v>
          </cell>
          <cell r="G77">
            <v>322637.37</v>
          </cell>
          <cell r="H77">
            <v>340060.49599999998</v>
          </cell>
          <cell r="I77">
            <v>260538.75599999999</v>
          </cell>
          <cell r="J77" t="e">
            <v>#REF!</v>
          </cell>
          <cell r="K77" t="e">
            <v>#REF!</v>
          </cell>
          <cell r="L77">
            <v>135000</v>
          </cell>
          <cell r="M77">
            <v>199300</v>
          </cell>
          <cell r="N77">
            <v>199300</v>
          </cell>
          <cell r="O77" t="e">
            <v>#N/A</v>
          </cell>
          <cell r="P77">
            <v>1606000</v>
          </cell>
          <cell r="Q77">
            <v>2929705.99</v>
          </cell>
          <cell r="R77">
            <v>3517000</v>
          </cell>
          <cell r="S77">
            <v>0</v>
          </cell>
          <cell r="T77">
            <v>1</v>
          </cell>
        </row>
        <row r="78">
          <cell r="B78">
            <v>1313400920</v>
          </cell>
          <cell r="C78" t="str">
            <v>920</v>
          </cell>
          <cell r="D78" t="str">
            <v>313400</v>
          </cell>
          <cell r="E78" t="str">
            <v>השת" מ.חנוך פרויקטים</v>
          </cell>
          <cell r="F78">
            <v>810000</v>
          </cell>
          <cell r="G78">
            <v>689942.39</v>
          </cell>
          <cell r="H78">
            <v>827930.86800000002</v>
          </cell>
          <cell r="I78">
            <v>827930.86800000002</v>
          </cell>
          <cell r="J78" t="e">
            <v>#REF!</v>
          </cell>
          <cell r="K78" t="e">
            <v>#REF!</v>
          </cell>
          <cell r="L78">
            <v>815000</v>
          </cell>
          <cell r="M78">
            <v>807000</v>
          </cell>
          <cell r="N78">
            <v>840000</v>
          </cell>
          <cell r="O78">
            <v>540000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1</v>
          </cell>
        </row>
        <row r="79">
          <cell r="B79">
            <v>1313410290</v>
          </cell>
          <cell r="C79" t="str">
            <v>290</v>
          </cell>
          <cell r="D79" t="str">
            <v>313410</v>
          </cell>
          <cell r="E79" t="str">
            <v>השתת" פסיכומטרי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 t="e">
            <v>#N/A</v>
          </cell>
          <cell r="P79">
            <v>0</v>
          </cell>
          <cell r="Q79">
            <v>3900</v>
          </cell>
          <cell r="R79">
            <v>5000</v>
          </cell>
          <cell r="S79">
            <v>0</v>
          </cell>
          <cell r="T79">
            <v>0</v>
          </cell>
        </row>
        <row r="80">
          <cell r="B80">
            <v>1313450920</v>
          </cell>
          <cell r="C80" t="str">
            <v>920</v>
          </cell>
          <cell r="D80" t="str">
            <v>313450</v>
          </cell>
          <cell r="E80" t="str">
            <v>הכנסות שונות מס חינוך</v>
          </cell>
          <cell r="F80">
            <v>101000</v>
          </cell>
          <cell r="G80">
            <v>77093.149999999994</v>
          </cell>
          <cell r="H80">
            <v>77887</v>
          </cell>
          <cell r="I80">
            <v>77887</v>
          </cell>
          <cell r="J80" t="e">
            <v>#REF!</v>
          </cell>
          <cell r="K80" t="e">
            <v>#REF!</v>
          </cell>
          <cell r="L80">
            <v>72753</v>
          </cell>
          <cell r="M80">
            <v>72700</v>
          </cell>
          <cell r="N80">
            <v>72700</v>
          </cell>
          <cell r="O80" t="e">
            <v>#N/A</v>
          </cell>
          <cell r="P80">
            <v>0</v>
          </cell>
          <cell r="Q80">
            <v>146545.42000000001</v>
          </cell>
          <cell r="R80">
            <v>176000</v>
          </cell>
          <cell r="S80">
            <v>0</v>
          </cell>
          <cell r="T80">
            <v>1</v>
          </cell>
        </row>
        <row r="81">
          <cell r="B81">
            <v>1313451920</v>
          </cell>
          <cell r="C81" t="str">
            <v>920</v>
          </cell>
          <cell r="D81" t="str">
            <v>313451</v>
          </cell>
          <cell r="E81" t="str">
            <v>הנגשה אקוסטית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B82">
            <v>1313452920</v>
          </cell>
          <cell r="C82" t="str">
            <v>920</v>
          </cell>
          <cell r="D82" t="str">
            <v>313452</v>
          </cell>
          <cell r="E82" t="str">
            <v>הנגשה פרטנית לתלמידים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>
            <v>1313453920</v>
          </cell>
          <cell r="C83" t="str">
            <v>920</v>
          </cell>
          <cell r="D83" t="str">
            <v>313453</v>
          </cell>
          <cell r="E83" t="str">
            <v>התנסות מדעית טכנולוגית</v>
          </cell>
          <cell r="F83">
            <v>40000</v>
          </cell>
          <cell r="G83">
            <v>34155.31</v>
          </cell>
          <cell r="H83">
            <v>40986.371999999996</v>
          </cell>
          <cell r="I83">
            <v>40986.371999999996</v>
          </cell>
          <cell r="J83" t="e">
            <v>#REF!</v>
          </cell>
          <cell r="K83" t="e">
            <v>#REF!</v>
          </cell>
          <cell r="L83">
            <v>40000</v>
          </cell>
          <cell r="M83">
            <v>26700</v>
          </cell>
          <cell r="N83">
            <v>40000</v>
          </cell>
          <cell r="O83" t="e">
            <v>#N/A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1</v>
          </cell>
        </row>
        <row r="84">
          <cell r="B84">
            <v>1313600920</v>
          </cell>
          <cell r="C84" t="str">
            <v>920</v>
          </cell>
          <cell r="D84" t="str">
            <v>313600</v>
          </cell>
          <cell r="E84" t="str">
            <v>תוכנית דוברת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B85">
            <v>1313610920</v>
          </cell>
          <cell r="C85" t="str">
            <v>920</v>
          </cell>
          <cell r="D85" t="str">
            <v>313610</v>
          </cell>
          <cell r="E85" t="str">
            <v>חוק שילוב סייעות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294000</v>
          </cell>
          <cell r="Q85">
            <v>295868.86</v>
          </cell>
          <cell r="R85">
            <v>355000</v>
          </cell>
          <cell r="S85">
            <v>0</v>
          </cell>
          <cell r="T85">
            <v>0</v>
          </cell>
        </row>
        <row r="86">
          <cell r="B86">
            <v>1313700920</v>
          </cell>
          <cell r="C86" t="str">
            <v>920</v>
          </cell>
          <cell r="D86" t="str">
            <v>313700</v>
          </cell>
          <cell r="E86" t="str">
            <v>הכנסות מ.חינוך פינות עבודה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B87">
            <v>1313800290</v>
          </cell>
          <cell r="C87" t="str">
            <v>290</v>
          </cell>
          <cell r="D87" t="str">
            <v>313800</v>
          </cell>
          <cell r="E87" t="str">
            <v>ביטוח תלמידים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100000</v>
          </cell>
          <cell r="Q87">
            <v>32400</v>
          </cell>
          <cell r="R87">
            <v>39000</v>
          </cell>
          <cell r="S87">
            <v>0</v>
          </cell>
          <cell r="T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 t="str">
            <v>בתי"ס חטב"ים</v>
          </cell>
          <cell r="F88">
            <v>951000</v>
          </cell>
          <cell r="G88">
            <v>801190.85000000009</v>
          </cell>
          <cell r="H88">
            <v>946804.24</v>
          </cell>
          <cell r="I88">
            <v>946804.24</v>
          </cell>
          <cell r="J88" t="e">
            <v>#REF!</v>
          </cell>
          <cell r="K88" t="e">
            <v>#REF!</v>
          </cell>
          <cell r="L88">
            <v>927753</v>
          </cell>
          <cell r="M88">
            <v>906400</v>
          </cell>
          <cell r="N88">
            <v>952700</v>
          </cell>
          <cell r="O88" t="e">
            <v>#N/A</v>
          </cell>
          <cell r="P88">
            <v>394000</v>
          </cell>
          <cell r="Q88">
            <v>478714.28</v>
          </cell>
          <cell r="R88">
            <v>575000</v>
          </cell>
          <cell r="S88">
            <v>0</v>
          </cell>
          <cell r="T88">
            <v>1</v>
          </cell>
        </row>
        <row r="89">
          <cell r="B89">
            <v>1314000920</v>
          </cell>
          <cell r="C89" t="str">
            <v>920</v>
          </cell>
          <cell r="D89" t="str">
            <v>314000</v>
          </cell>
          <cell r="E89" t="str">
            <v>שירות פסיכולוגי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645000</v>
          </cell>
          <cell r="Q89">
            <v>547051.29</v>
          </cell>
          <cell r="R89">
            <v>656000</v>
          </cell>
          <cell r="S89">
            <v>0</v>
          </cell>
          <cell r="T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 t="str">
            <v>סה"כ שירות פסיכולוגי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645000</v>
          </cell>
          <cell r="Q90">
            <v>547051.29</v>
          </cell>
          <cell r="R90">
            <v>656000</v>
          </cell>
          <cell r="S90">
            <v>0</v>
          </cell>
          <cell r="T90">
            <v>0</v>
          </cell>
        </row>
        <row r="91">
          <cell r="B91">
            <v>1315100920</v>
          </cell>
          <cell r="C91" t="str">
            <v>920</v>
          </cell>
          <cell r="D91" t="str">
            <v>315100</v>
          </cell>
          <cell r="E91" t="str">
            <v>סייעות טיפוליות</v>
          </cell>
          <cell r="F91">
            <v>5000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438000</v>
          </cell>
          <cell r="Q91">
            <v>538000</v>
          </cell>
          <cell r="R91">
            <v>644000</v>
          </cell>
          <cell r="S91">
            <v>0</v>
          </cell>
          <cell r="T91">
            <v>0</v>
          </cell>
        </row>
        <row r="92">
          <cell r="B92">
            <v>1315110920</v>
          </cell>
          <cell r="C92" t="str">
            <v>920</v>
          </cell>
          <cell r="D92" t="str">
            <v>315110</v>
          </cell>
          <cell r="E92" t="str">
            <v>הסעות חינוך</v>
          </cell>
          <cell r="F92">
            <v>5608000</v>
          </cell>
          <cell r="G92">
            <v>4440284.83</v>
          </cell>
          <cell r="H92">
            <v>5328341.7960000001</v>
          </cell>
          <cell r="I92">
            <v>5328341.7960000001</v>
          </cell>
          <cell r="J92" t="e">
            <v>#REF!</v>
          </cell>
          <cell r="K92" t="e">
            <v>#REF!</v>
          </cell>
          <cell r="L92">
            <v>5500000</v>
          </cell>
          <cell r="M92">
            <v>5800000</v>
          </cell>
          <cell r="N92">
            <v>6500000</v>
          </cell>
          <cell r="O92">
            <v>4133842.95</v>
          </cell>
          <cell r="P92">
            <v>1088000</v>
          </cell>
          <cell r="Q92">
            <v>1259810.47</v>
          </cell>
          <cell r="R92">
            <v>1512000</v>
          </cell>
          <cell r="S92">
            <v>0</v>
          </cell>
          <cell r="T92">
            <v>1</v>
          </cell>
        </row>
        <row r="93">
          <cell r="B93">
            <v>1315111920</v>
          </cell>
          <cell r="C93" t="str">
            <v>920</v>
          </cell>
          <cell r="D93" t="str">
            <v>315111</v>
          </cell>
          <cell r="E93" t="str">
            <v>סייעות ציל"ה</v>
          </cell>
          <cell r="F93">
            <v>0</v>
          </cell>
          <cell r="G93">
            <v>3061.04</v>
          </cell>
          <cell r="H93">
            <v>3673.2479999999996</v>
          </cell>
          <cell r="I93">
            <v>3673.2479999999996</v>
          </cell>
          <cell r="J93" t="e">
            <v>#REF!</v>
          </cell>
          <cell r="K93" t="e">
            <v>#REF!</v>
          </cell>
          <cell r="L93">
            <v>5000</v>
          </cell>
          <cell r="M93">
            <v>4100</v>
          </cell>
          <cell r="N93">
            <v>4100</v>
          </cell>
          <cell r="O93" t="e">
            <v>#N/A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</row>
        <row r="94">
          <cell r="B94">
            <v>1315120420</v>
          </cell>
          <cell r="C94" t="str">
            <v>420</v>
          </cell>
          <cell r="D94" t="str">
            <v>315120</v>
          </cell>
          <cell r="E94" t="str">
            <v>החזר נסיעות ח.מיוחד</v>
          </cell>
          <cell r="F94">
            <v>19000</v>
          </cell>
          <cell r="G94">
            <v>16677.740000000002</v>
          </cell>
          <cell r="H94">
            <v>20013.288</v>
          </cell>
          <cell r="I94">
            <v>20013.288</v>
          </cell>
          <cell r="J94" t="e">
            <v>#REF!</v>
          </cell>
          <cell r="K94" t="e">
            <v>#REF!</v>
          </cell>
          <cell r="L94">
            <v>20000</v>
          </cell>
          <cell r="M94">
            <v>18900</v>
          </cell>
          <cell r="N94">
            <v>20000</v>
          </cell>
          <cell r="O94" t="e">
            <v>#N/A</v>
          </cell>
          <cell r="P94">
            <v>14000</v>
          </cell>
          <cell r="Q94">
            <v>0</v>
          </cell>
          <cell r="R94">
            <v>0</v>
          </cell>
          <cell r="S94">
            <v>0</v>
          </cell>
          <cell r="T94">
            <v>1</v>
          </cell>
        </row>
        <row r="95">
          <cell r="B95">
            <v>1315120920</v>
          </cell>
          <cell r="C95" t="str">
            <v>920</v>
          </cell>
          <cell r="D95" t="str">
            <v>315120</v>
          </cell>
          <cell r="E95" t="str">
            <v>דמי שתיה</v>
          </cell>
          <cell r="F95">
            <v>280000</v>
          </cell>
          <cell r="G95">
            <v>224129.89</v>
          </cell>
          <cell r="H95">
            <v>268955.86800000002</v>
          </cell>
          <cell r="I95">
            <v>268955.86800000002</v>
          </cell>
          <cell r="J95" t="e">
            <v>#REF!</v>
          </cell>
          <cell r="K95" t="e">
            <v>#REF!</v>
          </cell>
          <cell r="L95">
            <v>275000</v>
          </cell>
          <cell r="M95">
            <v>280000</v>
          </cell>
          <cell r="N95">
            <v>307000</v>
          </cell>
          <cell r="O95" t="e">
            <v>#N/A</v>
          </cell>
          <cell r="P95">
            <v>7000</v>
          </cell>
          <cell r="Q95">
            <v>5126.6400000000003</v>
          </cell>
          <cell r="R95">
            <v>6000</v>
          </cell>
          <cell r="S95">
            <v>0</v>
          </cell>
          <cell r="T95">
            <v>1</v>
          </cell>
        </row>
        <row r="96">
          <cell r="B96">
            <v>1315130920</v>
          </cell>
          <cell r="C96" t="str">
            <v>920</v>
          </cell>
          <cell r="D96" t="str">
            <v>315130</v>
          </cell>
          <cell r="E96" t="str">
            <v>רכב מנהלים</v>
          </cell>
          <cell r="F96">
            <v>3000</v>
          </cell>
          <cell r="G96">
            <v>16375.16</v>
          </cell>
          <cell r="H96">
            <v>19650.191999999999</v>
          </cell>
          <cell r="I96">
            <v>19650.191999999999</v>
          </cell>
          <cell r="J96" t="e">
            <v>#REF!</v>
          </cell>
          <cell r="K96" t="e">
            <v>#REF!</v>
          </cell>
          <cell r="L96">
            <v>25000</v>
          </cell>
          <cell r="M96">
            <v>27500</v>
          </cell>
          <cell r="N96">
            <v>27500</v>
          </cell>
          <cell r="O96" t="e">
            <v>#N/A</v>
          </cell>
          <cell r="P96">
            <v>19000</v>
          </cell>
          <cell r="Q96">
            <v>16701.599999999999</v>
          </cell>
          <cell r="R96">
            <v>20000</v>
          </cell>
          <cell r="S96">
            <v>0</v>
          </cell>
          <cell r="T96">
            <v>1</v>
          </cell>
        </row>
        <row r="97">
          <cell r="B97">
            <v>1315140920</v>
          </cell>
          <cell r="C97" t="str">
            <v>920</v>
          </cell>
          <cell r="D97" t="str">
            <v>315140</v>
          </cell>
          <cell r="E97" t="str">
            <v>רכב סגנים</v>
          </cell>
          <cell r="F97">
            <v>320000</v>
          </cell>
          <cell r="G97">
            <v>238845.65</v>
          </cell>
          <cell r="H97">
            <v>286614.77999999997</v>
          </cell>
          <cell r="I97">
            <v>286614.77999999997</v>
          </cell>
          <cell r="J97" t="e">
            <v>#REF!</v>
          </cell>
          <cell r="K97">
            <v>237510</v>
          </cell>
          <cell r="L97">
            <v>237510</v>
          </cell>
          <cell r="M97">
            <v>24200</v>
          </cell>
          <cell r="N97">
            <v>240200</v>
          </cell>
          <cell r="O97" t="e">
            <v>#N/A</v>
          </cell>
          <cell r="P97">
            <v>3000</v>
          </cell>
          <cell r="Q97">
            <v>3256.8</v>
          </cell>
          <cell r="R97">
            <v>4000</v>
          </cell>
          <cell r="S97">
            <v>0</v>
          </cell>
          <cell r="T97">
            <v>1</v>
          </cell>
        </row>
        <row r="98">
          <cell r="B98">
            <v>1315150920</v>
          </cell>
          <cell r="C98" t="str">
            <v>920</v>
          </cell>
          <cell r="D98" t="str">
            <v>315150</v>
          </cell>
          <cell r="E98" t="str">
            <v>הוצ נלוות ח.מיוחד</v>
          </cell>
          <cell r="F98">
            <v>40000</v>
          </cell>
          <cell r="G98">
            <v>6257.86</v>
          </cell>
          <cell r="H98">
            <v>7509.4319999999989</v>
          </cell>
          <cell r="I98">
            <v>7509.4319999999989</v>
          </cell>
          <cell r="J98" t="e">
            <v>#REF!</v>
          </cell>
          <cell r="K98" t="e">
            <v>#REF!</v>
          </cell>
          <cell r="L98">
            <v>0</v>
          </cell>
          <cell r="M98">
            <v>361700</v>
          </cell>
          <cell r="N98">
            <v>361700</v>
          </cell>
          <cell r="O98" t="e">
            <v>#N/A</v>
          </cell>
          <cell r="P98">
            <v>485000</v>
          </cell>
          <cell r="Q98">
            <v>196881.88</v>
          </cell>
          <cell r="R98">
            <v>236000</v>
          </cell>
          <cell r="S98">
            <v>0</v>
          </cell>
          <cell r="T98">
            <v>1</v>
          </cell>
        </row>
        <row r="99">
          <cell r="B99">
            <v>1315160920</v>
          </cell>
          <cell r="C99" t="str">
            <v>920</v>
          </cell>
          <cell r="D99" t="str">
            <v>315160</v>
          </cell>
          <cell r="E99" t="str">
            <v>חיוב אגרת תלמיד חוץ</v>
          </cell>
          <cell r="F99">
            <v>1050000</v>
          </cell>
          <cell r="G99">
            <v>1138070.1399999999</v>
          </cell>
          <cell r="H99">
            <v>1365684.1680000001</v>
          </cell>
          <cell r="I99">
            <v>1365684.1680000001</v>
          </cell>
          <cell r="J99" t="e">
            <v>#REF!</v>
          </cell>
          <cell r="K99" t="e">
            <v>#REF!</v>
          </cell>
          <cell r="L99">
            <v>1400000</v>
          </cell>
          <cell r="M99">
            <v>1370000</v>
          </cell>
          <cell r="N99">
            <v>1405000</v>
          </cell>
          <cell r="O99" t="e">
            <v>#N/A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1</v>
          </cell>
        </row>
        <row r="100">
          <cell r="B100">
            <v>1315170920</v>
          </cell>
          <cell r="C100" t="str">
            <v>920</v>
          </cell>
          <cell r="D100" t="str">
            <v>315170</v>
          </cell>
          <cell r="E100" t="str">
            <v>שעות פרטניות -עוז לתמורה</v>
          </cell>
          <cell r="F100">
            <v>27000</v>
          </cell>
          <cell r="G100">
            <v>61580.08</v>
          </cell>
          <cell r="H100">
            <v>73896.09599999999</v>
          </cell>
          <cell r="I100">
            <v>73896.09599999999</v>
          </cell>
          <cell r="J100" t="e">
            <v>#REF!</v>
          </cell>
          <cell r="K100" t="e">
            <v>#REF!</v>
          </cell>
          <cell r="L100">
            <v>40000</v>
          </cell>
          <cell r="M100">
            <v>27500</v>
          </cell>
          <cell r="N100">
            <v>40000</v>
          </cell>
          <cell r="O100" t="e">
            <v>#N/A</v>
          </cell>
          <cell r="P100">
            <v>2667000</v>
          </cell>
          <cell r="Q100">
            <v>2604420.58</v>
          </cell>
          <cell r="R100">
            <v>2984000</v>
          </cell>
          <cell r="S100">
            <v>0</v>
          </cell>
          <cell r="T100">
            <v>1</v>
          </cell>
        </row>
        <row r="101">
          <cell r="B101">
            <v>1315171920</v>
          </cell>
          <cell r="C101" t="str">
            <v>920</v>
          </cell>
          <cell r="D101" t="str">
            <v>315171</v>
          </cell>
          <cell r="E101" t="str">
            <v>שעות תומכות - עוז לתמורה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 t="e">
            <v>#N/A</v>
          </cell>
          <cell r="P101">
            <v>0</v>
          </cell>
          <cell r="Q101">
            <v>1766000</v>
          </cell>
          <cell r="R101">
            <v>2119000</v>
          </cell>
          <cell r="S101">
            <v>0</v>
          </cell>
          <cell r="T101">
            <v>0</v>
          </cell>
        </row>
        <row r="102">
          <cell r="B102">
            <v>1315180740</v>
          </cell>
          <cell r="C102" t="str">
            <v>740</v>
          </cell>
          <cell r="D102" t="str">
            <v>315180</v>
          </cell>
          <cell r="E102" t="str">
            <v>השת" בחשמל בי"ס עתיד</v>
          </cell>
          <cell r="F102">
            <v>60000</v>
          </cell>
          <cell r="G102">
            <v>41314.89</v>
          </cell>
          <cell r="H102">
            <v>49577.868000000002</v>
          </cell>
          <cell r="I102">
            <v>49577.868000000002</v>
          </cell>
          <cell r="J102" t="e">
            <v>#REF!</v>
          </cell>
          <cell r="K102" t="e">
            <v>#REF!</v>
          </cell>
          <cell r="L102">
            <v>60000</v>
          </cell>
          <cell r="M102">
            <v>48700</v>
          </cell>
          <cell r="N102">
            <v>50000</v>
          </cell>
          <cell r="O102" t="e">
            <v>#N/A</v>
          </cell>
          <cell r="P102">
            <v>70000</v>
          </cell>
          <cell r="Q102">
            <v>0</v>
          </cell>
          <cell r="R102">
            <v>0</v>
          </cell>
          <cell r="S102">
            <v>0</v>
          </cell>
          <cell r="T102">
            <v>1</v>
          </cell>
        </row>
        <row r="103">
          <cell r="B103">
            <v>1315200920</v>
          </cell>
          <cell r="C103" t="str">
            <v>920</v>
          </cell>
          <cell r="D103" t="str">
            <v>315200</v>
          </cell>
          <cell r="E103" t="str">
            <v>מגמת אומניות העיצוב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4927822.71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 t="str">
            <v>בתי"ס על יסודיים</v>
          </cell>
          <cell r="F104">
            <v>7412000</v>
          </cell>
          <cell r="G104">
            <v>6186597.2800000003</v>
          </cell>
          <cell r="H104">
            <v>7423916.7359999996</v>
          </cell>
          <cell r="I104">
            <v>7423916.7359999996</v>
          </cell>
          <cell r="J104" t="e">
            <v>#REF!</v>
          </cell>
          <cell r="K104" t="e">
            <v>#REF!</v>
          </cell>
          <cell r="L104">
            <v>7562510</v>
          </cell>
          <cell r="M104">
            <v>7962600</v>
          </cell>
          <cell r="N104">
            <v>8955500</v>
          </cell>
          <cell r="O104" t="e">
            <v>#N/A</v>
          </cell>
          <cell r="P104">
            <v>4791000</v>
          </cell>
          <cell r="Q104">
            <v>6390197.9700000007</v>
          </cell>
          <cell r="R104">
            <v>7525000</v>
          </cell>
          <cell r="S104">
            <v>0</v>
          </cell>
          <cell r="T104">
            <v>1</v>
          </cell>
        </row>
        <row r="105">
          <cell r="B105">
            <v>1317100920</v>
          </cell>
          <cell r="C105" t="str">
            <v>920</v>
          </cell>
          <cell r="D105" t="str">
            <v>317100</v>
          </cell>
          <cell r="E105" t="str">
            <v>קב"ט בחינוך</v>
          </cell>
          <cell r="F105">
            <v>287000</v>
          </cell>
          <cell r="G105">
            <v>239367.16</v>
          </cell>
          <cell r="H105">
            <v>287240.592</v>
          </cell>
          <cell r="I105">
            <v>287240.592</v>
          </cell>
          <cell r="J105" t="e">
            <v>#REF!</v>
          </cell>
          <cell r="K105" t="e">
            <v>#REF!</v>
          </cell>
          <cell r="L105">
            <v>290000</v>
          </cell>
          <cell r="M105">
            <v>290500</v>
          </cell>
          <cell r="N105">
            <v>290500</v>
          </cell>
          <cell r="O105" t="e">
            <v>#N/A</v>
          </cell>
          <cell r="P105">
            <v>50000</v>
          </cell>
          <cell r="Q105">
            <v>42000</v>
          </cell>
          <cell r="R105">
            <v>50000</v>
          </cell>
          <cell r="S105">
            <v>0</v>
          </cell>
          <cell r="T105">
            <v>1</v>
          </cell>
        </row>
        <row r="106">
          <cell r="B106">
            <v>1317200920</v>
          </cell>
          <cell r="C106" t="str">
            <v>920</v>
          </cell>
          <cell r="D106" t="str">
            <v>317200</v>
          </cell>
          <cell r="E106" t="str">
            <v>השת" בציוד בטיחות</v>
          </cell>
          <cell r="F106">
            <v>127000</v>
          </cell>
          <cell r="G106">
            <v>105052.12</v>
          </cell>
          <cell r="H106">
            <v>126062.54399999999</v>
          </cell>
          <cell r="I106">
            <v>126062.54399999999</v>
          </cell>
          <cell r="J106" t="e">
            <v>#REF!</v>
          </cell>
          <cell r="K106" t="e">
            <v>#REF!</v>
          </cell>
          <cell r="L106">
            <v>126000</v>
          </cell>
          <cell r="M106">
            <v>128000</v>
          </cell>
          <cell r="N106">
            <v>128000</v>
          </cell>
          <cell r="O106" t="e">
            <v>#N/A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1</v>
          </cell>
        </row>
        <row r="107">
          <cell r="B107">
            <v>1317300920</v>
          </cell>
          <cell r="C107" t="str">
            <v>920</v>
          </cell>
          <cell r="D107" t="str">
            <v>317300</v>
          </cell>
          <cell r="E107" t="str">
            <v>מרכיבי בטחון מסודות חינוך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202673.78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B108">
            <v>1317400920</v>
          </cell>
          <cell r="C108" t="str">
            <v>920</v>
          </cell>
          <cell r="D108" t="str">
            <v>317400</v>
          </cell>
          <cell r="E108" t="str">
            <v>סייעות רפאיות</v>
          </cell>
          <cell r="F108">
            <v>121000</v>
          </cell>
          <cell r="G108">
            <v>535505.31999999995</v>
          </cell>
          <cell r="H108">
            <v>642606.38399999996</v>
          </cell>
          <cell r="I108">
            <v>600000</v>
          </cell>
          <cell r="J108" t="e">
            <v>#REF!</v>
          </cell>
          <cell r="K108" t="e">
            <v>#REF!</v>
          </cell>
          <cell r="L108">
            <v>600000</v>
          </cell>
          <cell r="M108">
            <v>470000</v>
          </cell>
          <cell r="N108">
            <v>500000</v>
          </cell>
          <cell r="O108" t="e">
            <v>#N/A</v>
          </cell>
          <cell r="P108">
            <v>113000</v>
          </cell>
          <cell r="Q108">
            <v>29564.38</v>
          </cell>
          <cell r="R108">
            <v>36000</v>
          </cell>
          <cell r="S108">
            <v>0</v>
          </cell>
          <cell r="T108">
            <v>1</v>
          </cell>
        </row>
        <row r="109">
          <cell r="B109">
            <v>1317500220</v>
          </cell>
          <cell r="C109" t="str">
            <v>220</v>
          </cell>
          <cell r="D109" t="str">
            <v>317500</v>
          </cell>
          <cell r="E109" t="str">
            <v>ביטוח ילדים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B110">
            <v>1317500920</v>
          </cell>
          <cell r="C110" t="str">
            <v>920</v>
          </cell>
          <cell r="D110" t="str">
            <v>317500</v>
          </cell>
          <cell r="E110" t="str">
            <v>סל תלמיד-חט"ב_+שכפול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1610000</v>
          </cell>
          <cell r="Q110">
            <v>1383033.06</v>
          </cell>
          <cell r="R110">
            <v>1660000</v>
          </cell>
          <cell r="S110">
            <v>0</v>
          </cell>
          <cell r="T110">
            <v>0</v>
          </cell>
        </row>
        <row r="111">
          <cell r="B111">
            <v>1317510920</v>
          </cell>
          <cell r="C111" t="str">
            <v>920</v>
          </cell>
          <cell r="D111" t="str">
            <v>317510</v>
          </cell>
          <cell r="E111" t="str">
            <v>תשלומי הורים חומרים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250000</v>
          </cell>
          <cell r="Q111">
            <v>192273.34</v>
          </cell>
          <cell r="R111">
            <v>231000</v>
          </cell>
          <cell r="S111">
            <v>0</v>
          </cell>
          <cell r="T111">
            <v>0</v>
          </cell>
        </row>
        <row r="112">
          <cell r="B112">
            <v>1317520920</v>
          </cell>
          <cell r="C112" t="str">
            <v>920</v>
          </cell>
          <cell r="D112" t="str">
            <v>317520</v>
          </cell>
          <cell r="E112" t="str">
            <v>חברה הוגנת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B113">
            <v>1317530920</v>
          </cell>
          <cell r="C113" t="str">
            <v>920</v>
          </cell>
          <cell r="D113" t="str">
            <v>317530</v>
          </cell>
          <cell r="E113" t="str">
            <v>הבראה וביגוד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583000</v>
          </cell>
          <cell r="Q113">
            <v>475235.83</v>
          </cell>
          <cell r="R113">
            <v>570000</v>
          </cell>
          <cell r="S113">
            <v>0</v>
          </cell>
          <cell r="T113">
            <v>0</v>
          </cell>
        </row>
        <row r="114">
          <cell r="B114">
            <v>1317561920</v>
          </cell>
          <cell r="C114" t="str">
            <v>920</v>
          </cell>
          <cell r="D114" t="str">
            <v>317561</v>
          </cell>
          <cell r="E114" t="str">
            <v>גמול בגרות אחוזי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181000</v>
          </cell>
          <cell r="Q114">
            <v>145635.66</v>
          </cell>
          <cell r="R114">
            <v>175000</v>
          </cell>
          <cell r="S114">
            <v>0</v>
          </cell>
          <cell r="T114">
            <v>0</v>
          </cell>
        </row>
        <row r="115">
          <cell r="B115">
            <v>1317565920</v>
          </cell>
          <cell r="C115" t="str">
            <v>920</v>
          </cell>
          <cell r="D115" t="str">
            <v>317565</v>
          </cell>
          <cell r="E115" t="str">
            <v>מתמטיקה תחילה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30000</v>
          </cell>
          <cell r="Q115">
            <v>55011.77</v>
          </cell>
          <cell r="R115">
            <v>66000</v>
          </cell>
          <cell r="S115">
            <v>0</v>
          </cell>
          <cell r="T115">
            <v>0</v>
          </cell>
        </row>
        <row r="116">
          <cell r="B116">
            <v>1317566920</v>
          </cell>
          <cell r="C116" t="str">
            <v>920</v>
          </cell>
          <cell r="D116" t="str">
            <v>317566</v>
          </cell>
          <cell r="E116" t="str">
            <v>תוכנית סולמות אנגלית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26385.279999999999</v>
          </cell>
          <cell r="R116">
            <v>32000</v>
          </cell>
          <cell r="S116">
            <v>0</v>
          </cell>
          <cell r="T116">
            <v>0</v>
          </cell>
        </row>
        <row r="117">
          <cell r="B117">
            <v>1317567920</v>
          </cell>
          <cell r="C117" t="str">
            <v>920</v>
          </cell>
          <cell r="D117" t="str">
            <v>317567</v>
          </cell>
          <cell r="E117" t="str">
            <v>מנהל תחום תרבותי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8000</v>
          </cell>
          <cell r="Q117">
            <v>51389.99</v>
          </cell>
          <cell r="R117">
            <v>62000</v>
          </cell>
          <cell r="S117">
            <v>0</v>
          </cell>
          <cell r="T117">
            <v>0</v>
          </cell>
        </row>
        <row r="118">
          <cell r="B118">
            <v>1317568920</v>
          </cell>
          <cell r="C118" t="str">
            <v>920</v>
          </cell>
          <cell r="D118" t="str">
            <v>317568</v>
          </cell>
          <cell r="E118" t="str">
            <v>משרות דרגות קידום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1000</v>
          </cell>
          <cell r="Q118">
            <v>2199.37</v>
          </cell>
          <cell r="R118">
            <v>3000</v>
          </cell>
          <cell r="S118">
            <v>0</v>
          </cell>
          <cell r="T118">
            <v>0</v>
          </cell>
        </row>
        <row r="119">
          <cell r="B119">
            <v>1317569920</v>
          </cell>
          <cell r="C119" t="str">
            <v>920</v>
          </cell>
          <cell r="D119" t="str">
            <v>317569</v>
          </cell>
          <cell r="E119" t="str">
            <v>ת.תקשוב-קיזוז רשויות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159180.72</v>
          </cell>
          <cell r="R119">
            <v>191000</v>
          </cell>
          <cell r="S119">
            <v>0</v>
          </cell>
          <cell r="T119">
            <v>0</v>
          </cell>
        </row>
        <row r="120">
          <cell r="B120">
            <v>1317600920</v>
          </cell>
          <cell r="C120" t="str">
            <v>920</v>
          </cell>
          <cell r="D120" t="str">
            <v>317600</v>
          </cell>
          <cell r="E120" t="str">
            <v>גמול טיולים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152000</v>
          </cell>
          <cell r="Q120">
            <v>146788.28</v>
          </cell>
          <cell r="R120">
            <v>176000</v>
          </cell>
          <cell r="S120">
            <v>0</v>
          </cell>
          <cell r="T120">
            <v>0</v>
          </cell>
        </row>
        <row r="121">
          <cell r="B121">
            <v>1317610920</v>
          </cell>
          <cell r="C121" t="str">
            <v>920</v>
          </cell>
          <cell r="D121" t="str">
            <v>317610</v>
          </cell>
          <cell r="E121" t="str">
            <v>השתתפות בטיולים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B122">
            <v>1317620920</v>
          </cell>
          <cell r="C122" t="str">
            <v>920</v>
          </cell>
          <cell r="D122" t="str">
            <v>317620</v>
          </cell>
          <cell r="E122" t="str">
            <v>ציוד ומכשירים חנ"ג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B123">
            <v>1317700920</v>
          </cell>
          <cell r="C123" t="str">
            <v>920</v>
          </cell>
          <cell r="D123" t="str">
            <v>317700</v>
          </cell>
          <cell r="E123" t="str">
            <v>קבסי"ם  מ.חנוך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203000</v>
          </cell>
          <cell r="Q123">
            <v>123851.25</v>
          </cell>
          <cell r="R123">
            <v>149000</v>
          </cell>
          <cell r="S123">
            <v>0</v>
          </cell>
          <cell r="T123">
            <v>0</v>
          </cell>
        </row>
        <row r="124">
          <cell r="B124">
            <v>1317710920</v>
          </cell>
          <cell r="C124" t="str">
            <v>920</v>
          </cell>
          <cell r="D124" t="str">
            <v>317710</v>
          </cell>
          <cell r="E124" t="str">
            <v>תוכנית מניפה למניעת נשירה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55000</v>
          </cell>
          <cell r="Q124">
            <v>11000</v>
          </cell>
          <cell r="R124">
            <v>13000</v>
          </cell>
          <cell r="S124">
            <v>0</v>
          </cell>
          <cell r="T124">
            <v>0</v>
          </cell>
        </row>
        <row r="125">
          <cell r="B125">
            <v>1317720920</v>
          </cell>
          <cell r="C125" t="str">
            <v>920</v>
          </cell>
          <cell r="D125" t="str">
            <v>317720</v>
          </cell>
          <cell r="E125" t="str">
            <v>מילוי מקום מוסודת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28000</v>
          </cell>
          <cell r="Q125">
            <v>25645.46</v>
          </cell>
          <cell r="R125">
            <v>31000</v>
          </cell>
          <cell r="S125">
            <v>0</v>
          </cell>
          <cell r="T125">
            <v>0</v>
          </cell>
        </row>
        <row r="126">
          <cell r="B126">
            <v>1317730920</v>
          </cell>
          <cell r="C126" t="str">
            <v>920</v>
          </cell>
          <cell r="D126" t="str">
            <v>317730</v>
          </cell>
          <cell r="E126" t="str">
            <v>שעות תפקיד רכז מקצוע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60000</v>
          </cell>
          <cell r="Q126">
            <v>64134.87</v>
          </cell>
          <cell r="R126">
            <v>77000</v>
          </cell>
          <cell r="S126">
            <v>0</v>
          </cell>
          <cell r="T126">
            <v>0</v>
          </cell>
        </row>
        <row r="127">
          <cell r="B127">
            <v>1317740920</v>
          </cell>
          <cell r="C127" t="str">
            <v>920</v>
          </cell>
          <cell r="D127" t="str">
            <v>317740</v>
          </cell>
          <cell r="E127" t="str">
            <v>אוריינות מדעית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9000</v>
          </cell>
          <cell r="Q127">
            <v>6272.92</v>
          </cell>
          <cell r="R127">
            <v>8000</v>
          </cell>
          <cell r="S127">
            <v>0</v>
          </cell>
          <cell r="T127">
            <v>0</v>
          </cell>
        </row>
        <row r="128">
          <cell r="B128">
            <v>1317750920</v>
          </cell>
          <cell r="C128" t="str">
            <v>920</v>
          </cell>
          <cell r="D128" t="str">
            <v>317750</v>
          </cell>
          <cell r="E128" t="str">
            <v>עתודה מדעית טכנולוגית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57000</v>
          </cell>
          <cell r="Q128">
            <v>108802.81</v>
          </cell>
          <cell r="R128">
            <v>131000</v>
          </cell>
          <cell r="S128">
            <v>0</v>
          </cell>
          <cell r="T128">
            <v>0</v>
          </cell>
        </row>
        <row r="129">
          <cell r="B129">
            <v>1317800920</v>
          </cell>
          <cell r="C129" t="str">
            <v>920</v>
          </cell>
          <cell r="D129" t="str">
            <v>317800</v>
          </cell>
          <cell r="E129" t="str">
            <v>מענק יובל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60000</v>
          </cell>
          <cell r="Q129">
            <v>69540.72</v>
          </cell>
          <cell r="R129">
            <v>84000</v>
          </cell>
          <cell r="S129">
            <v>0</v>
          </cell>
          <cell r="T129">
            <v>0</v>
          </cell>
        </row>
        <row r="130">
          <cell r="B130">
            <v>1317810920</v>
          </cell>
          <cell r="C130" t="str">
            <v>920</v>
          </cell>
          <cell r="D130" t="str">
            <v>317810</v>
          </cell>
          <cell r="E130" t="str">
            <v>שיפור סביבה תיכון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B131">
            <v>1317820920</v>
          </cell>
          <cell r="C131" t="str">
            <v>920</v>
          </cell>
          <cell r="D131" t="str">
            <v>317820</v>
          </cell>
          <cell r="E131" t="str">
            <v>מזכירים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50000</v>
          </cell>
          <cell r="Q131">
            <v>74300.78</v>
          </cell>
          <cell r="R131">
            <v>89000</v>
          </cell>
          <cell r="S131">
            <v>0</v>
          </cell>
          <cell r="T131">
            <v>0</v>
          </cell>
        </row>
        <row r="132">
          <cell r="B132">
            <v>1317830920</v>
          </cell>
          <cell r="C132" t="str">
            <v>920</v>
          </cell>
          <cell r="D132" t="str">
            <v>317830</v>
          </cell>
          <cell r="E132" t="str">
            <v>שרתים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160000</v>
          </cell>
          <cell r="Q132">
            <v>200885.38</v>
          </cell>
          <cell r="R132">
            <v>241000</v>
          </cell>
          <cell r="S132">
            <v>0</v>
          </cell>
          <cell r="T132">
            <v>0</v>
          </cell>
        </row>
        <row r="133">
          <cell r="B133">
            <v>1317831920</v>
          </cell>
          <cell r="C133" t="str">
            <v>920</v>
          </cell>
          <cell r="D133" t="str">
            <v>317831</v>
          </cell>
          <cell r="E133" t="str">
            <v>פדיון ימי חופשה שרתים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B134">
            <v>1317840920</v>
          </cell>
          <cell r="C134" t="str">
            <v>920</v>
          </cell>
          <cell r="D134" t="str">
            <v>317840</v>
          </cell>
          <cell r="E134" t="str">
            <v>שכ"ל גני ילדים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3480000</v>
          </cell>
          <cell r="Q134">
            <v>3120034.8</v>
          </cell>
          <cell r="R134">
            <v>3744000</v>
          </cell>
          <cell r="S134">
            <v>0</v>
          </cell>
          <cell r="T134">
            <v>0</v>
          </cell>
        </row>
        <row r="135">
          <cell r="B135">
            <v>1317841920</v>
          </cell>
          <cell r="C135" t="str">
            <v>920</v>
          </cell>
          <cell r="D135" t="str">
            <v>317841</v>
          </cell>
          <cell r="E135" t="str">
            <v>ניהול עצמי משופר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1264000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B136">
            <v>1317842920</v>
          </cell>
          <cell r="C136" t="str">
            <v>920</v>
          </cell>
          <cell r="D136" t="str">
            <v>317842</v>
          </cell>
          <cell r="E136" t="str">
            <v>הצטידות גני ילדים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B137">
            <v>1317850920</v>
          </cell>
          <cell r="C137" t="str">
            <v>920</v>
          </cell>
          <cell r="D137" t="str">
            <v>317850</v>
          </cell>
          <cell r="E137" t="str">
            <v>אולפנים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14000</v>
          </cell>
          <cell r="Q137">
            <v>6585.68</v>
          </cell>
          <cell r="R137">
            <v>8000</v>
          </cell>
          <cell r="S137">
            <v>0</v>
          </cell>
          <cell r="T137">
            <v>0</v>
          </cell>
        </row>
        <row r="138">
          <cell r="B138">
            <v>1317851920</v>
          </cell>
          <cell r="C138" t="str">
            <v>920</v>
          </cell>
          <cell r="D138" t="str">
            <v>317851</v>
          </cell>
          <cell r="E138" t="str">
            <v>עובדי סיוע - ניהול עצמי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B139">
            <v>1317860920</v>
          </cell>
          <cell r="C139" t="str">
            <v>920</v>
          </cell>
          <cell r="D139" t="str">
            <v>317860</v>
          </cell>
          <cell r="E139" t="str">
            <v>מעדונית ברשיות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331000</v>
          </cell>
          <cell r="Q139">
            <v>314110.99</v>
          </cell>
          <cell r="R139">
            <v>377000</v>
          </cell>
          <cell r="S139">
            <v>0</v>
          </cell>
          <cell r="T139">
            <v>0</v>
          </cell>
        </row>
        <row r="140">
          <cell r="B140">
            <v>1317861920</v>
          </cell>
          <cell r="C140" t="str">
            <v>920</v>
          </cell>
          <cell r="D140" t="str">
            <v>317861</v>
          </cell>
          <cell r="E140" t="str">
            <v>תוספת דפרנצילית- ניהול עצמי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B141">
            <v>1317870690</v>
          </cell>
          <cell r="C141" t="str">
            <v>690</v>
          </cell>
          <cell r="D141" t="str">
            <v>317870</v>
          </cell>
          <cell r="E141" t="str">
            <v>ביטוח לאומי הקצבה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B142">
            <v>1317870920</v>
          </cell>
          <cell r="C142" t="str">
            <v>920</v>
          </cell>
          <cell r="D142" t="str">
            <v>317870</v>
          </cell>
          <cell r="E142" t="str">
            <v>מחשבים לבי"ס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B143">
            <v>1317875920</v>
          </cell>
          <cell r="C143" t="str">
            <v>920</v>
          </cell>
          <cell r="D143" t="str">
            <v>317875</v>
          </cell>
          <cell r="E143" t="str">
            <v>חותם "רשיונות למחשבים"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B144">
            <v>1317880920</v>
          </cell>
          <cell r="C144" t="str">
            <v>920</v>
          </cell>
          <cell r="D144" t="str">
            <v>317880</v>
          </cell>
          <cell r="E144" t="str">
            <v>הצטיידות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B145">
            <v>1317890920</v>
          </cell>
          <cell r="C145" t="str">
            <v>920</v>
          </cell>
          <cell r="D145" t="str">
            <v>317890</v>
          </cell>
          <cell r="E145" t="str">
            <v>יוזמות מנהל מחוז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B146">
            <v>1317891920</v>
          </cell>
          <cell r="C146" t="str">
            <v>920</v>
          </cell>
          <cell r="D146" t="str">
            <v>317891</v>
          </cell>
          <cell r="E146" t="str">
            <v>תוכנית אומץ מנ"ע ונחשון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100000</v>
          </cell>
          <cell r="Q146">
            <v>146666.46</v>
          </cell>
          <cell r="R146">
            <v>175999.75199999998</v>
          </cell>
          <cell r="S146">
            <v>0</v>
          </cell>
          <cell r="T146">
            <v>0</v>
          </cell>
        </row>
        <row r="147">
          <cell r="B147">
            <v>1317893920</v>
          </cell>
          <cell r="C147" t="str">
            <v>920</v>
          </cell>
          <cell r="D147" t="str">
            <v>317893</v>
          </cell>
          <cell r="E147" t="str">
            <v>השלמת בגרות לי"ג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B148">
            <v>1317894920</v>
          </cell>
          <cell r="C148" t="str">
            <v>920</v>
          </cell>
          <cell r="D148" t="str">
            <v>317894</v>
          </cell>
          <cell r="E148" t="str">
            <v>שרותי היקף בתי נוער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B149">
            <v>1317895920</v>
          </cell>
          <cell r="C149" t="str">
            <v>920</v>
          </cell>
          <cell r="D149" t="str">
            <v>317895</v>
          </cell>
          <cell r="E149" t="str">
            <v>מוביל בי"ס מניעת סמים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6000</v>
          </cell>
          <cell r="Q149">
            <v>3873.2</v>
          </cell>
          <cell r="R149">
            <v>5000</v>
          </cell>
          <cell r="S149">
            <v>0</v>
          </cell>
          <cell r="T149">
            <v>0</v>
          </cell>
        </row>
        <row r="150">
          <cell r="B150">
            <v>1317896920</v>
          </cell>
          <cell r="C150" t="str">
            <v>920</v>
          </cell>
          <cell r="D150" t="str">
            <v>317896</v>
          </cell>
          <cell r="E150" t="str">
            <v>מוחזקות חדשה בי"ס תיכון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597000</v>
          </cell>
          <cell r="Q150">
            <v>465798.16</v>
          </cell>
          <cell r="R150">
            <v>560000</v>
          </cell>
          <cell r="S150">
            <v>0</v>
          </cell>
          <cell r="T150">
            <v>0</v>
          </cell>
        </row>
        <row r="151">
          <cell r="B151">
            <v>1317897920</v>
          </cell>
          <cell r="C151" t="str">
            <v>920</v>
          </cell>
          <cell r="D151" t="str">
            <v>317897</v>
          </cell>
          <cell r="E151" t="str">
            <v>מסלול משופר חרשים עוורים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19000</v>
          </cell>
          <cell r="Q151">
            <v>27220.32</v>
          </cell>
          <cell r="R151">
            <v>33000</v>
          </cell>
          <cell r="S151">
            <v>0</v>
          </cell>
          <cell r="T151">
            <v>0</v>
          </cell>
        </row>
        <row r="152">
          <cell r="B152">
            <v>1317898920</v>
          </cell>
          <cell r="C152" t="str">
            <v>920</v>
          </cell>
          <cell r="D152" t="str">
            <v>317898</v>
          </cell>
          <cell r="E152" t="str">
            <v>מטה שנהר וקרמניצר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38000</v>
          </cell>
          <cell r="Q152">
            <v>11949.69</v>
          </cell>
          <cell r="R152">
            <v>14000</v>
          </cell>
          <cell r="S152">
            <v>0</v>
          </cell>
          <cell r="T152">
            <v>0</v>
          </cell>
        </row>
        <row r="153">
          <cell r="B153">
            <v>1317900920</v>
          </cell>
          <cell r="C153" t="str">
            <v>920</v>
          </cell>
          <cell r="D153" t="str">
            <v>317900</v>
          </cell>
          <cell r="E153" t="str">
            <v>שרותים אחרים מ.חנוך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B154">
            <v>1318000920</v>
          </cell>
          <cell r="C154" t="str">
            <v>920</v>
          </cell>
          <cell r="D154" t="str">
            <v>318000</v>
          </cell>
          <cell r="E154" t="str">
            <v>תהיל"ה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6000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B155">
            <v>1318100740</v>
          </cell>
          <cell r="C155" t="str">
            <v>740</v>
          </cell>
          <cell r="D155" t="str">
            <v>318100</v>
          </cell>
          <cell r="E155" t="str">
            <v>מ.הפיס -ספריה צבורית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B156">
            <v>1318100920</v>
          </cell>
          <cell r="C156" t="str">
            <v>920</v>
          </cell>
          <cell r="D156" t="str">
            <v>318100</v>
          </cell>
          <cell r="E156" t="str">
            <v>ספריה ציבורית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B157">
            <v>1319000920</v>
          </cell>
          <cell r="C157" t="str">
            <v>920</v>
          </cell>
          <cell r="D157" t="str">
            <v>319000</v>
          </cell>
          <cell r="E157" t="str">
            <v>מסגרת קיץ פר תלמיד רגיל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555000</v>
          </cell>
          <cell r="Q157">
            <v>530000</v>
          </cell>
          <cell r="R157">
            <v>530000</v>
          </cell>
          <cell r="S157">
            <v>0</v>
          </cell>
          <cell r="T157">
            <v>0</v>
          </cell>
        </row>
        <row r="158">
          <cell r="B158">
            <v>1319100920</v>
          </cell>
          <cell r="C158" t="str">
            <v>920</v>
          </cell>
          <cell r="D158" t="str">
            <v>319100</v>
          </cell>
          <cell r="E158" t="str">
            <v>מסגרת קיץ פר מוסד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52000</v>
          </cell>
          <cell r="Q158">
            <v>47395</v>
          </cell>
          <cell r="R158">
            <v>56000</v>
          </cell>
          <cell r="S158">
            <v>0</v>
          </cell>
          <cell r="T158">
            <v>0</v>
          </cell>
        </row>
        <row r="159">
          <cell r="B159">
            <v>1319200920</v>
          </cell>
          <cell r="C159" t="str">
            <v>920</v>
          </cell>
          <cell r="D159" t="str">
            <v>319200</v>
          </cell>
          <cell r="E159" t="str">
            <v>הסעות מסגרות קיץ פר מסלול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 t="str">
            <v>שירותים אחרים</v>
          </cell>
          <cell r="F160">
            <v>535000</v>
          </cell>
          <cell r="G160">
            <v>879924.6</v>
          </cell>
          <cell r="H160">
            <v>1055909.52</v>
          </cell>
          <cell r="I160">
            <v>1013303.1359999999</v>
          </cell>
          <cell r="J160" t="e">
            <v>#REF!</v>
          </cell>
          <cell r="K160" t="e">
            <v>#REF!</v>
          </cell>
          <cell r="L160">
            <v>1016000</v>
          </cell>
          <cell r="M160">
            <v>888500</v>
          </cell>
          <cell r="N160">
            <v>918500</v>
          </cell>
          <cell r="O160" t="e">
            <v>#N/A</v>
          </cell>
          <cell r="P160">
            <v>10122000</v>
          </cell>
          <cell r="Q160">
            <v>8066766.1700000009</v>
          </cell>
          <cell r="R160">
            <v>9577999.7520000003</v>
          </cell>
          <cell r="S160">
            <v>0</v>
          </cell>
          <cell r="T160">
            <v>1</v>
          </cell>
        </row>
        <row r="161">
          <cell r="B161">
            <v>0</v>
          </cell>
          <cell r="C161">
            <v>0</v>
          </cell>
          <cell r="D161">
            <v>0</v>
          </cell>
          <cell r="E161" t="str">
            <v>סה"כ חינוך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#N/A</v>
          </cell>
          <cell r="P161">
            <v>27383000</v>
          </cell>
          <cell r="Q161">
            <v>27706195.049999997</v>
          </cell>
          <cell r="R161">
            <v>33298999.752</v>
          </cell>
          <cell r="S161">
            <v>0</v>
          </cell>
          <cell r="T161">
            <v>1</v>
          </cell>
        </row>
        <row r="162">
          <cell r="B162">
            <v>0</v>
          </cell>
          <cell r="C162" t="str">
            <v>תרבות וספורט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</v>
          </cell>
        </row>
        <row r="163">
          <cell r="B163">
            <v>1323000920</v>
          </cell>
          <cell r="C163" t="str">
            <v>920</v>
          </cell>
          <cell r="D163" t="str">
            <v>323000</v>
          </cell>
          <cell r="E163" t="str">
            <v>משרד התרבות - קידום נוער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200000</v>
          </cell>
          <cell r="M163">
            <v>178085</v>
          </cell>
          <cell r="N163">
            <v>0</v>
          </cell>
          <cell r="O163" t="e">
            <v>#N/A</v>
          </cell>
          <cell r="P163">
            <v>79000</v>
          </cell>
          <cell r="Q163">
            <v>0</v>
          </cell>
          <cell r="R163">
            <v>0</v>
          </cell>
          <cell r="S163">
            <v>0</v>
          </cell>
          <cell r="T163">
            <v>1</v>
          </cell>
        </row>
        <row r="164">
          <cell r="B164">
            <v>1323100920</v>
          </cell>
          <cell r="C164" t="str">
            <v>920</v>
          </cell>
          <cell r="D164" t="str">
            <v>323100</v>
          </cell>
          <cell r="E164" t="str">
            <v>משרד התרבות יחידת נוער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 t="e">
            <v>#N/A</v>
          </cell>
          <cell r="P164">
            <v>40000</v>
          </cell>
          <cell r="Q164">
            <v>57208</v>
          </cell>
          <cell r="R164">
            <v>57000</v>
          </cell>
          <cell r="S164">
            <v>0</v>
          </cell>
          <cell r="T164">
            <v>0</v>
          </cell>
        </row>
        <row r="165">
          <cell r="B165">
            <v>1324000420</v>
          </cell>
          <cell r="C165" t="str">
            <v>420</v>
          </cell>
          <cell r="D165" t="str">
            <v>324000</v>
          </cell>
          <cell r="E165" t="str">
            <v>השתתפות הורים</v>
          </cell>
          <cell r="F165">
            <v>30000</v>
          </cell>
          <cell r="G165">
            <v>8716.67</v>
          </cell>
          <cell r="H165">
            <v>70000</v>
          </cell>
          <cell r="I165">
            <v>160000</v>
          </cell>
          <cell r="J165" t="e">
            <v>#REF!</v>
          </cell>
          <cell r="K165" t="e">
            <v>#REF!</v>
          </cell>
          <cell r="L165">
            <v>12000</v>
          </cell>
          <cell r="M165">
            <v>12000</v>
          </cell>
          <cell r="N165">
            <v>12000</v>
          </cell>
          <cell r="O165" t="e">
            <v>#N/A</v>
          </cell>
          <cell r="P165">
            <v>1000</v>
          </cell>
          <cell r="Q165">
            <v>750</v>
          </cell>
          <cell r="R165">
            <v>1000</v>
          </cell>
          <cell r="S165">
            <v>0</v>
          </cell>
          <cell r="T165">
            <v>1</v>
          </cell>
        </row>
        <row r="166">
          <cell r="B166">
            <v>1324000720</v>
          </cell>
          <cell r="C166" t="str">
            <v>720</v>
          </cell>
          <cell r="D166" t="str">
            <v>324000</v>
          </cell>
          <cell r="E166" t="str">
            <v>מ.תחבורה תרבות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56000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B167">
            <v>1324000920</v>
          </cell>
          <cell r="C167" t="str">
            <v>920</v>
          </cell>
          <cell r="D167" t="str">
            <v>324000</v>
          </cell>
          <cell r="E167" t="str">
            <v>מ.חנוך -מעדנית נוער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121000</v>
          </cell>
          <cell r="Q167">
            <v>37676.720000000001</v>
          </cell>
          <cell r="R167">
            <v>45000</v>
          </cell>
          <cell r="S167">
            <v>0</v>
          </cell>
          <cell r="T167">
            <v>0</v>
          </cell>
        </row>
        <row r="168">
          <cell r="B168">
            <v>1324100410</v>
          </cell>
          <cell r="C168" t="str">
            <v>410</v>
          </cell>
          <cell r="D168" t="str">
            <v>324100</v>
          </cell>
          <cell r="E168" t="str">
            <v>חינוך מבוגרים השת"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140</v>
          </cell>
          <cell r="R168">
            <v>1000</v>
          </cell>
          <cell r="S168">
            <v>0</v>
          </cell>
          <cell r="T168">
            <v>0</v>
          </cell>
        </row>
        <row r="169">
          <cell r="B169">
            <v>1324100920</v>
          </cell>
          <cell r="C169" t="str">
            <v>920</v>
          </cell>
          <cell r="D169" t="str">
            <v>324100</v>
          </cell>
          <cell r="E169" t="str">
            <v>חנוך מבוגרים השכלה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B170">
            <v>1328000810</v>
          </cell>
          <cell r="C170" t="str">
            <v>810</v>
          </cell>
          <cell r="D170" t="str">
            <v>328000</v>
          </cell>
          <cell r="E170" t="str">
            <v>בית נוער הפעלה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B171">
            <v>1328000920</v>
          </cell>
          <cell r="C171" t="str">
            <v>920</v>
          </cell>
          <cell r="D171" t="str">
            <v>328000</v>
          </cell>
          <cell r="E171" t="str">
            <v>מ.חינוך נוער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89000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B172">
            <v>1329000420</v>
          </cell>
          <cell r="C172" t="str">
            <v>420</v>
          </cell>
          <cell r="D172" t="str">
            <v>329000</v>
          </cell>
          <cell r="E172" t="str">
            <v>פעילות ספורט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14000</v>
          </cell>
          <cell r="Q172">
            <v>15620</v>
          </cell>
          <cell r="R172">
            <v>19000</v>
          </cell>
          <cell r="S172">
            <v>0</v>
          </cell>
          <cell r="T172">
            <v>0</v>
          </cell>
        </row>
        <row r="173">
          <cell r="B173">
            <v>1329000920</v>
          </cell>
          <cell r="C173" t="str">
            <v>920</v>
          </cell>
          <cell r="D173" t="str">
            <v>329000</v>
          </cell>
          <cell r="E173" t="str">
            <v>פעולות ספורט מ.חינוך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30000</v>
          </cell>
          <cell r="R173">
            <v>36000</v>
          </cell>
          <cell r="S173">
            <v>0</v>
          </cell>
          <cell r="T173">
            <v>0</v>
          </cell>
        </row>
        <row r="174">
          <cell r="B174">
            <v>1329900710</v>
          </cell>
          <cell r="C174" t="str">
            <v>710</v>
          </cell>
          <cell r="D174" t="str">
            <v>329900</v>
          </cell>
          <cell r="E174" t="str">
            <v>אולם ספורט מפעל הפיס</v>
          </cell>
          <cell r="F174">
            <v>5000</v>
          </cell>
          <cell r="G174">
            <v>0</v>
          </cell>
          <cell r="H174">
            <v>0</v>
          </cell>
          <cell r="I174">
            <v>0</v>
          </cell>
          <cell r="J174" t="e">
            <v>#REF!</v>
          </cell>
          <cell r="K174">
            <v>30000</v>
          </cell>
          <cell r="L174">
            <v>30000</v>
          </cell>
          <cell r="M174">
            <v>40000</v>
          </cell>
          <cell r="N174">
            <v>190000</v>
          </cell>
          <cell r="O174" t="e">
            <v>#N/A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1</v>
          </cell>
        </row>
        <row r="175">
          <cell r="B175">
            <v>1329910710</v>
          </cell>
          <cell r="C175" t="str">
            <v>710</v>
          </cell>
          <cell r="D175" t="str">
            <v>329910</v>
          </cell>
          <cell r="E175" t="str">
            <v>תרבות וספורט</v>
          </cell>
          <cell r="F175">
            <v>0</v>
          </cell>
          <cell r="G175">
            <v>0</v>
          </cell>
          <cell r="H175">
            <v>0</v>
          </cell>
          <cell r="I175">
            <v>50000</v>
          </cell>
          <cell r="J175" t="e">
            <v>#REF!</v>
          </cell>
          <cell r="K175" t="e">
            <v>#REF!</v>
          </cell>
          <cell r="L175">
            <v>50000</v>
          </cell>
          <cell r="M175">
            <v>0</v>
          </cell>
          <cell r="N175">
            <v>0</v>
          </cell>
          <cell r="O175" t="e">
            <v>#N/A</v>
          </cell>
          <cell r="P175">
            <v>85000</v>
          </cell>
          <cell r="Q175">
            <v>0</v>
          </cell>
          <cell r="R175">
            <v>0</v>
          </cell>
          <cell r="S175">
            <v>0</v>
          </cell>
          <cell r="T175">
            <v>1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סה"כ תרבות וספורט</v>
          </cell>
          <cell r="F176">
            <v>35000</v>
          </cell>
          <cell r="G176">
            <v>8716.67</v>
          </cell>
          <cell r="H176">
            <v>70000</v>
          </cell>
          <cell r="I176">
            <v>210000</v>
          </cell>
          <cell r="J176" t="e">
            <v>#REF!</v>
          </cell>
          <cell r="K176" t="e">
            <v>#REF!</v>
          </cell>
          <cell r="L176">
            <v>292000</v>
          </cell>
          <cell r="M176">
            <v>230085</v>
          </cell>
          <cell r="N176">
            <v>202000</v>
          </cell>
          <cell r="O176" t="e">
            <v>#N/A</v>
          </cell>
          <cell r="P176">
            <v>485000</v>
          </cell>
          <cell r="Q176">
            <v>141394.72</v>
          </cell>
          <cell r="R176">
            <v>159000</v>
          </cell>
          <cell r="S176">
            <v>0</v>
          </cell>
          <cell r="T176">
            <v>1</v>
          </cell>
        </row>
        <row r="177">
          <cell r="B177">
            <v>0</v>
          </cell>
          <cell r="C177" t="str">
            <v>בריאות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1</v>
          </cell>
        </row>
        <row r="178">
          <cell r="B178">
            <v>1332300940</v>
          </cell>
          <cell r="C178" t="str">
            <v>940</v>
          </cell>
          <cell r="D178" t="str">
            <v>332300</v>
          </cell>
          <cell r="E178" t="str">
            <v>מ.הבריאות</v>
          </cell>
          <cell r="F178">
            <v>20000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101000</v>
          </cell>
          <cell r="Q178">
            <v>48797.5</v>
          </cell>
          <cell r="R178">
            <v>59000</v>
          </cell>
          <cell r="S178">
            <v>0</v>
          </cell>
          <cell r="T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 t="str">
            <v>סה"כ בריאות</v>
          </cell>
          <cell r="F179">
            <v>20000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101000</v>
          </cell>
          <cell r="Q179">
            <v>48797.5</v>
          </cell>
          <cell r="R179">
            <v>59000</v>
          </cell>
          <cell r="S179">
            <v>0</v>
          </cell>
          <cell r="T179">
            <v>1</v>
          </cell>
        </row>
        <row r="180">
          <cell r="B180">
            <v>0</v>
          </cell>
          <cell r="C180" t="str">
            <v>מחלקת רווחה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1</v>
          </cell>
        </row>
        <row r="181">
          <cell r="B181">
            <v>1341000930</v>
          </cell>
          <cell r="C181" t="str">
            <v>930</v>
          </cell>
          <cell r="D181" t="str">
            <v>341000</v>
          </cell>
          <cell r="E181" t="str">
            <v>שכר עובדי לשכות</v>
          </cell>
          <cell r="F181">
            <v>631000</v>
          </cell>
          <cell r="G181">
            <v>535731</v>
          </cell>
          <cell r="H181">
            <v>642877.19999999995</v>
          </cell>
          <cell r="I181">
            <v>650000</v>
          </cell>
          <cell r="J181" t="e">
            <v>#REF!</v>
          </cell>
          <cell r="K181" t="e">
            <v>#REF!</v>
          </cell>
          <cell r="L181">
            <v>650000</v>
          </cell>
          <cell r="M181">
            <v>650000</v>
          </cell>
          <cell r="N181">
            <v>650000</v>
          </cell>
          <cell r="O181">
            <v>309547</v>
          </cell>
          <cell r="P181">
            <v>964000</v>
          </cell>
          <cell r="Q181">
            <v>797683</v>
          </cell>
          <cell r="R181">
            <v>957000</v>
          </cell>
          <cell r="S181">
            <v>0</v>
          </cell>
          <cell r="T181">
            <v>1</v>
          </cell>
        </row>
        <row r="182">
          <cell r="B182">
            <v>1341100930</v>
          </cell>
          <cell r="C182" t="str">
            <v>930</v>
          </cell>
          <cell r="D182" t="str">
            <v>341100</v>
          </cell>
          <cell r="E182" t="str">
            <v>הוצ ארגוניות רשויות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4000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B183">
            <v>1341200930</v>
          </cell>
          <cell r="C183" t="str">
            <v>930</v>
          </cell>
          <cell r="D183" t="str">
            <v>341200</v>
          </cell>
          <cell r="E183" t="str">
            <v>מחשוב מח רווחה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 t="str">
            <v>הנהלה</v>
          </cell>
          <cell r="F184">
            <v>631000</v>
          </cell>
          <cell r="G184">
            <v>535731</v>
          </cell>
          <cell r="H184">
            <v>642877.19999999995</v>
          </cell>
          <cell r="I184">
            <v>650000</v>
          </cell>
          <cell r="J184" t="e">
            <v>#REF!</v>
          </cell>
          <cell r="K184" t="e">
            <v>#REF!</v>
          </cell>
          <cell r="L184">
            <v>650000</v>
          </cell>
          <cell r="M184">
            <v>650000</v>
          </cell>
          <cell r="N184">
            <v>650000</v>
          </cell>
          <cell r="O184">
            <v>309547</v>
          </cell>
          <cell r="P184">
            <v>968000</v>
          </cell>
          <cell r="Q184">
            <v>797683</v>
          </cell>
          <cell r="R184">
            <v>957000</v>
          </cell>
          <cell r="S184">
            <v>0</v>
          </cell>
          <cell r="T184">
            <v>1</v>
          </cell>
        </row>
        <row r="185">
          <cell r="B185">
            <v>1342200930</v>
          </cell>
          <cell r="C185" t="str">
            <v>930</v>
          </cell>
          <cell r="D185" t="str">
            <v>342200</v>
          </cell>
          <cell r="E185" t="str">
            <v>משפחות במצוקה במקהלה</v>
          </cell>
          <cell r="F185">
            <v>22000</v>
          </cell>
          <cell r="G185">
            <v>13081</v>
          </cell>
          <cell r="H185">
            <v>15697.2</v>
          </cell>
          <cell r="I185">
            <v>15697.2</v>
          </cell>
          <cell r="J185" t="e">
            <v>#REF!</v>
          </cell>
          <cell r="K185" t="e">
            <v>#REF!</v>
          </cell>
          <cell r="L185">
            <v>11254</v>
          </cell>
          <cell r="M185">
            <v>13300</v>
          </cell>
          <cell r="N185">
            <v>13300</v>
          </cell>
          <cell r="O185">
            <v>12534</v>
          </cell>
          <cell r="P185">
            <v>79000</v>
          </cell>
          <cell r="Q185">
            <v>139402</v>
          </cell>
          <cell r="R185">
            <v>167000</v>
          </cell>
          <cell r="S185">
            <v>0</v>
          </cell>
          <cell r="T185">
            <v>1</v>
          </cell>
        </row>
        <row r="186">
          <cell r="B186">
            <v>1342210220</v>
          </cell>
          <cell r="C186" t="str">
            <v>220</v>
          </cell>
          <cell r="D186" t="str">
            <v>342210</v>
          </cell>
          <cell r="E186" t="str">
            <v>השת" נשים בקיטנה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 t="e">
            <v>#N/A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B187">
            <v>1342210930</v>
          </cell>
          <cell r="C187" t="str">
            <v>930</v>
          </cell>
          <cell r="D187" t="str">
            <v>342210</v>
          </cell>
          <cell r="E187" t="str">
            <v>קיטנות לאמהות</v>
          </cell>
          <cell r="F187">
            <v>18000</v>
          </cell>
          <cell r="G187">
            <v>3297</v>
          </cell>
          <cell r="H187">
            <v>3956.4</v>
          </cell>
          <cell r="I187">
            <v>3956.4</v>
          </cell>
          <cell r="J187" t="e">
            <v>#REF!</v>
          </cell>
          <cell r="K187" t="e">
            <v>#REF!</v>
          </cell>
          <cell r="L187">
            <v>9750</v>
          </cell>
          <cell r="M187">
            <v>8300</v>
          </cell>
          <cell r="N187">
            <v>8300</v>
          </cell>
          <cell r="O187" t="e">
            <v>#N/A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1</v>
          </cell>
        </row>
        <row r="188">
          <cell r="B188">
            <v>1342220930</v>
          </cell>
          <cell r="C188" t="str">
            <v>930</v>
          </cell>
          <cell r="D188" t="str">
            <v>342220</v>
          </cell>
          <cell r="E188" t="str">
            <v>סיוע למשפחות עם ילדים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79000</v>
          </cell>
          <cell r="Q188">
            <v>170740</v>
          </cell>
          <cell r="R188">
            <v>205000</v>
          </cell>
          <cell r="S188">
            <v>0</v>
          </cell>
          <cell r="T188">
            <v>0</v>
          </cell>
        </row>
        <row r="189">
          <cell r="B189">
            <v>1342221930</v>
          </cell>
          <cell r="C189" t="str">
            <v>930</v>
          </cell>
          <cell r="D189" t="str">
            <v>342221</v>
          </cell>
          <cell r="E189" t="str">
            <v>בית חם לנערות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190000</v>
          </cell>
          <cell r="Q189">
            <v>183794</v>
          </cell>
          <cell r="R189">
            <v>220000</v>
          </cell>
          <cell r="S189">
            <v>0</v>
          </cell>
          <cell r="T189">
            <v>0</v>
          </cell>
        </row>
        <row r="190">
          <cell r="B190">
            <v>1342222930</v>
          </cell>
          <cell r="C190" t="str">
            <v>930</v>
          </cell>
          <cell r="D190" t="str">
            <v>342222</v>
          </cell>
          <cell r="E190" t="str">
            <v>צרכי משרד רווחה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B191">
            <v>1342230930</v>
          </cell>
          <cell r="C191" t="str">
            <v>930</v>
          </cell>
          <cell r="D191" t="str">
            <v>342230</v>
          </cell>
          <cell r="E191" t="str">
            <v>תוכנית עם פנים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144000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B192">
            <v>1342300930</v>
          </cell>
          <cell r="C192" t="str">
            <v>930</v>
          </cell>
          <cell r="D192" t="str">
            <v>342300</v>
          </cell>
          <cell r="E192" t="str">
            <v>תוכנית עם הפנים לקהילה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194000</v>
          </cell>
          <cell r="Q192">
            <v>152231</v>
          </cell>
          <cell r="R192">
            <v>183000</v>
          </cell>
          <cell r="S192">
            <v>0</v>
          </cell>
          <cell r="T192">
            <v>0</v>
          </cell>
        </row>
        <row r="193">
          <cell r="B193">
            <v>1342500930</v>
          </cell>
          <cell r="C193" t="str">
            <v>930</v>
          </cell>
          <cell r="D193" t="str">
            <v>342500</v>
          </cell>
          <cell r="E193" t="str">
            <v>סמך מקצועי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27000</v>
          </cell>
          <cell r="Q193">
            <v>16820</v>
          </cell>
          <cell r="R193">
            <v>20000</v>
          </cell>
          <cell r="S193">
            <v>0</v>
          </cell>
          <cell r="T193">
            <v>0</v>
          </cell>
        </row>
        <row r="194">
          <cell r="B194">
            <v>1342600930</v>
          </cell>
          <cell r="C194" t="str">
            <v>930</v>
          </cell>
          <cell r="D194" t="str">
            <v>342600</v>
          </cell>
          <cell r="E194" t="str">
            <v>תמ"ת  משפחתון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1333000</v>
          </cell>
          <cell r="Q194">
            <v>1085000</v>
          </cell>
          <cell r="R194">
            <v>1302000</v>
          </cell>
          <cell r="S194">
            <v>0</v>
          </cell>
          <cell r="T194">
            <v>0</v>
          </cell>
        </row>
        <row r="195">
          <cell r="B195">
            <v>1342650930</v>
          </cell>
          <cell r="C195" t="str">
            <v>930</v>
          </cell>
          <cell r="D195" t="str">
            <v>342650</v>
          </cell>
          <cell r="E195" t="str">
            <v>פרוייקט וינגייט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 t="str">
            <v>טיפול במשפחה</v>
          </cell>
          <cell r="F196">
            <v>40000</v>
          </cell>
          <cell r="G196">
            <v>16378</v>
          </cell>
          <cell r="H196">
            <v>19653.600000000002</v>
          </cell>
          <cell r="I196">
            <v>19653.600000000002</v>
          </cell>
          <cell r="J196" t="e">
            <v>#REF!</v>
          </cell>
          <cell r="K196" t="e">
            <v>#REF!</v>
          </cell>
          <cell r="L196">
            <v>21004</v>
          </cell>
          <cell r="M196">
            <v>21600</v>
          </cell>
          <cell r="N196">
            <v>21600</v>
          </cell>
          <cell r="O196" t="e">
            <v>#N/A</v>
          </cell>
          <cell r="P196">
            <v>2046000</v>
          </cell>
          <cell r="Q196">
            <v>1747987</v>
          </cell>
          <cell r="R196">
            <v>2097000</v>
          </cell>
          <cell r="S196">
            <v>0</v>
          </cell>
          <cell r="T196">
            <v>1</v>
          </cell>
        </row>
        <row r="197">
          <cell r="B197">
            <v>1343500220</v>
          </cell>
          <cell r="C197" t="str">
            <v>220</v>
          </cell>
          <cell r="D197" t="str">
            <v>343500</v>
          </cell>
          <cell r="E197" t="str">
            <v>משפחתון השתת" ופעילות</v>
          </cell>
          <cell r="F197">
            <v>515000</v>
          </cell>
          <cell r="G197">
            <v>236153</v>
          </cell>
          <cell r="H197">
            <v>393821</v>
          </cell>
          <cell r="I197">
            <v>410000</v>
          </cell>
          <cell r="J197" t="e">
            <v>#REF!</v>
          </cell>
          <cell r="K197" t="e">
            <v>#REF!</v>
          </cell>
          <cell r="L197">
            <v>410000</v>
          </cell>
          <cell r="M197">
            <v>400000</v>
          </cell>
          <cell r="N197">
            <v>400000</v>
          </cell>
          <cell r="O197" t="e">
            <v>#N/A</v>
          </cell>
          <cell r="P197">
            <v>13000</v>
          </cell>
          <cell r="Q197">
            <v>0</v>
          </cell>
          <cell r="R197">
            <v>0</v>
          </cell>
          <cell r="S197">
            <v>0</v>
          </cell>
          <cell r="T197">
            <v>1</v>
          </cell>
        </row>
        <row r="198">
          <cell r="B198">
            <v>1343500930</v>
          </cell>
          <cell r="C198" t="str">
            <v>930</v>
          </cell>
          <cell r="D198" t="str">
            <v>343500</v>
          </cell>
          <cell r="E198" t="str">
            <v>רכזות משפחתונים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739</v>
          </cell>
          <cell r="K198">
            <v>1266.8571428571397</v>
          </cell>
          <cell r="L198">
            <v>2177</v>
          </cell>
          <cell r="M198">
            <v>1300</v>
          </cell>
          <cell r="N198">
            <v>1300</v>
          </cell>
          <cell r="O198" t="e">
            <v>#N/A</v>
          </cell>
          <cell r="P198">
            <v>91000</v>
          </cell>
          <cell r="Q198">
            <v>19381</v>
          </cell>
          <cell r="R198">
            <v>23000</v>
          </cell>
          <cell r="S198">
            <v>0</v>
          </cell>
          <cell r="T198">
            <v>1</v>
          </cell>
        </row>
        <row r="199">
          <cell r="B199">
            <v>1343510930</v>
          </cell>
          <cell r="C199" t="str">
            <v>930</v>
          </cell>
          <cell r="D199" t="str">
            <v>343510</v>
          </cell>
          <cell r="E199" t="str">
            <v>טיפול בילד בקהילה</v>
          </cell>
          <cell r="F199">
            <v>294000</v>
          </cell>
          <cell r="G199">
            <v>424094</v>
          </cell>
          <cell r="H199">
            <v>508912.8</v>
          </cell>
          <cell r="I199">
            <v>520000</v>
          </cell>
          <cell r="J199" t="e">
            <v>#REF!</v>
          </cell>
          <cell r="K199" t="e">
            <v>#REF!</v>
          </cell>
          <cell r="L199">
            <v>375000</v>
          </cell>
          <cell r="M199">
            <v>376000</v>
          </cell>
          <cell r="N199">
            <v>376000</v>
          </cell>
          <cell r="O199">
            <v>276</v>
          </cell>
          <cell r="P199">
            <v>437000</v>
          </cell>
          <cell r="Q199">
            <v>339199</v>
          </cell>
          <cell r="R199">
            <v>407000</v>
          </cell>
          <cell r="S199">
            <v>0</v>
          </cell>
          <cell r="T199">
            <v>1</v>
          </cell>
        </row>
        <row r="200">
          <cell r="B200">
            <v>1343800930</v>
          </cell>
          <cell r="C200" t="str">
            <v>930</v>
          </cell>
          <cell r="D200" t="str">
            <v>343800</v>
          </cell>
          <cell r="E200" t="str">
            <v>אחזקת ילדים בפנימיות</v>
          </cell>
          <cell r="F200">
            <v>0</v>
          </cell>
          <cell r="G200">
            <v>24010</v>
          </cell>
          <cell r="H200">
            <v>28812</v>
          </cell>
          <cell r="I200">
            <v>30000</v>
          </cell>
          <cell r="J200" t="e">
            <v>#REF!</v>
          </cell>
          <cell r="K200" t="e">
            <v>#REF!</v>
          </cell>
          <cell r="L200">
            <v>20000</v>
          </cell>
          <cell r="M200">
            <v>30000</v>
          </cell>
          <cell r="N200">
            <v>30000</v>
          </cell>
          <cell r="O200">
            <v>310351</v>
          </cell>
          <cell r="P200">
            <v>226000</v>
          </cell>
          <cell r="Q200">
            <v>596859</v>
          </cell>
          <cell r="R200">
            <v>716000</v>
          </cell>
          <cell r="S200">
            <v>0</v>
          </cell>
          <cell r="T200">
            <v>1</v>
          </cell>
        </row>
        <row r="201">
          <cell r="B201">
            <v>1343900930</v>
          </cell>
          <cell r="C201" t="str">
            <v>930</v>
          </cell>
          <cell r="D201" t="str">
            <v>343900</v>
          </cell>
          <cell r="E201" t="str">
            <v>אומנה/ילדים במעון</v>
          </cell>
          <cell r="F201">
            <v>268000</v>
          </cell>
          <cell r="G201">
            <v>190188</v>
          </cell>
          <cell r="H201">
            <v>281147</v>
          </cell>
          <cell r="I201">
            <v>290000</v>
          </cell>
          <cell r="J201" t="e">
            <v>#REF!</v>
          </cell>
          <cell r="K201" t="e">
            <v>#REF!</v>
          </cell>
          <cell r="L201">
            <v>283500</v>
          </cell>
          <cell r="M201">
            <v>280000</v>
          </cell>
          <cell r="N201">
            <v>280000</v>
          </cell>
          <cell r="O201">
            <v>204802</v>
          </cell>
          <cell r="P201">
            <v>817000</v>
          </cell>
          <cell r="Q201">
            <v>204080</v>
          </cell>
          <cell r="R201">
            <v>245000</v>
          </cell>
          <cell r="S201">
            <v>0</v>
          </cell>
          <cell r="T201">
            <v>1</v>
          </cell>
        </row>
        <row r="202">
          <cell r="B202">
            <v>0</v>
          </cell>
          <cell r="C202">
            <v>0</v>
          </cell>
          <cell r="D202">
            <v>0</v>
          </cell>
          <cell r="E202" t="str">
            <v>טיפול בילד ונוער</v>
          </cell>
          <cell r="F202">
            <v>1077000</v>
          </cell>
          <cell r="G202">
            <v>874445</v>
          </cell>
          <cell r="H202">
            <v>1212692.8</v>
          </cell>
          <cell r="I202">
            <v>1250000</v>
          </cell>
          <cell r="J202" t="e">
            <v>#REF!</v>
          </cell>
          <cell r="K202" t="e">
            <v>#REF!</v>
          </cell>
          <cell r="L202">
            <v>1090677</v>
          </cell>
          <cell r="M202">
            <v>1087300</v>
          </cell>
          <cell r="N202">
            <v>1087300</v>
          </cell>
          <cell r="O202" t="e">
            <v>#N/A</v>
          </cell>
          <cell r="P202">
            <v>1584000</v>
          </cell>
          <cell r="Q202">
            <v>1159519</v>
          </cell>
          <cell r="R202">
            <v>1391000</v>
          </cell>
          <cell r="S202">
            <v>0</v>
          </cell>
          <cell r="T202">
            <v>1</v>
          </cell>
        </row>
        <row r="203">
          <cell r="B203">
            <v>1344000220</v>
          </cell>
          <cell r="C203" t="str">
            <v>220</v>
          </cell>
          <cell r="D203" t="str">
            <v>344000</v>
          </cell>
          <cell r="E203" t="str">
            <v>השתת פעילות בית זקנים</v>
          </cell>
          <cell r="F203">
            <v>25000</v>
          </cell>
          <cell r="G203">
            <v>18076</v>
          </cell>
          <cell r="H203">
            <v>21691.200000000001</v>
          </cell>
          <cell r="I203">
            <v>25000</v>
          </cell>
          <cell r="J203" t="e">
            <v>#REF!</v>
          </cell>
          <cell r="K203" t="e">
            <v>#REF!</v>
          </cell>
          <cell r="L203">
            <v>36000</v>
          </cell>
          <cell r="M203">
            <v>29300</v>
          </cell>
          <cell r="N203">
            <v>29300</v>
          </cell>
          <cell r="O203" t="e">
            <v>#N/A</v>
          </cell>
          <cell r="P203">
            <v>9000</v>
          </cell>
          <cell r="Q203">
            <v>3600</v>
          </cell>
          <cell r="R203">
            <v>5000</v>
          </cell>
          <cell r="S203">
            <v>0</v>
          </cell>
          <cell r="T203">
            <v>1</v>
          </cell>
        </row>
        <row r="204">
          <cell r="B204">
            <v>1344400930</v>
          </cell>
          <cell r="C204" t="str">
            <v>930</v>
          </cell>
          <cell r="D204" t="str">
            <v>344400</v>
          </cell>
          <cell r="E204" t="str">
            <v>הבראה לזקן</v>
          </cell>
          <cell r="F204">
            <v>0</v>
          </cell>
          <cell r="G204">
            <v>88</v>
          </cell>
          <cell r="H204">
            <v>105.6</v>
          </cell>
          <cell r="I204">
            <v>1000</v>
          </cell>
          <cell r="J204" t="e">
            <v>#REF!</v>
          </cell>
          <cell r="K204" t="e">
            <v>#REF!</v>
          </cell>
          <cell r="L204">
            <v>1000</v>
          </cell>
          <cell r="M204">
            <v>0</v>
          </cell>
          <cell r="N204">
            <v>0</v>
          </cell>
          <cell r="O204">
            <v>0</v>
          </cell>
          <cell r="P204">
            <v>213000</v>
          </cell>
          <cell r="Q204">
            <v>376980</v>
          </cell>
          <cell r="R204">
            <v>452000</v>
          </cell>
          <cell r="S204">
            <v>0</v>
          </cell>
          <cell r="T204">
            <v>1</v>
          </cell>
        </row>
        <row r="205">
          <cell r="B205">
            <v>1344410930</v>
          </cell>
          <cell r="C205" t="str">
            <v>930</v>
          </cell>
          <cell r="D205" t="str">
            <v>344410</v>
          </cell>
          <cell r="E205" t="str">
            <v>צרכים מיוחדים לזקן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35424</v>
          </cell>
          <cell r="K205">
            <v>35424</v>
          </cell>
          <cell r="L205">
            <v>35424</v>
          </cell>
          <cell r="M205">
            <v>78700</v>
          </cell>
          <cell r="N205">
            <v>78700</v>
          </cell>
          <cell r="O205" t="e">
            <v>#N/A</v>
          </cell>
          <cell r="P205">
            <v>0</v>
          </cell>
          <cell r="Q205">
            <v>107319</v>
          </cell>
          <cell r="R205">
            <v>130000</v>
          </cell>
          <cell r="S205">
            <v>0</v>
          </cell>
          <cell r="T205">
            <v>1</v>
          </cell>
        </row>
        <row r="206">
          <cell r="B206">
            <v>0</v>
          </cell>
          <cell r="C206">
            <v>0</v>
          </cell>
          <cell r="D206">
            <v>0</v>
          </cell>
          <cell r="E206" t="str">
            <v>טיפול בזקן</v>
          </cell>
          <cell r="F206">
            <v>25000</v>
          </cell>
          <cell r="G206">
            <v>18164</v>
          </cell>
          <cell r="H206">
            <v>21796.799999999999</v>
          </cell>
          <cell r="I206">
            <v>26000</v>
          </cell>
          <cell r="J206" t="e">
            <v>#REF!</v>
          </cell>
          <cell r="K206" t="e">
            <v>#REF!</v>
          </cell>
          <cell r="L206">
            <v>72424</v>
          </cell>
          <cell r="M206">
            <v>108000</v>
          </cell>
          <cell r="N206">
            <v>108000</v>
          </cell>
          <cell r="O206" t="e">
            <v>#N/A</v>
          </cell>
          <cell r="P206">
            <v>222000</v>
          </cell>
          <cell r="Q206">
            <v>487899</v>
          </cell>
          <cell r="R206">
            <v>587000</v>
          </cell>
          <cell r="S206">
            <v>0</v>
          </cell>
          <cell r="T206">
            <v>1</v>
          </cell>
        </row>
        <row r="207">
          <cell r="B207">
            <v>1345100930</v>
          </cell>
          <cell r="C207" t="str">
            <v>930</v>
          </cell>
          <cell r="D207" t="str">
            <v>345100</v>
          </cell>
          <cell r="E207" t="str">
            <v>סדור מפגרים במוסדות</v>
          </cell>
          <cell r="F207">
            <v>960000</v>
          </cell>
          <cell r="G207">
            <v>907096</v>
          </cell>
          <cell r="H207">
            <v>1091152</v>
          </cell>
          <cell r="I207">
            <v>1142000</v>
          </cell>
          <cell r="J207" t="e">
            <v>#REF!</v>
          </cell>
          <cell r="K207" t="e">
            <v>#REF!</v>
          </cell>
          <cell r="L207">
            <v>1089628</v>
          </cell>
          <cell r="M207">
            <v>1087000</v>
          </cell>
          <cell r="N207">
            <v>1087000</v>
          </cell>
          <cell r="O207">
            <v>806407</v>
          </cell>
          <cell r="P207">
            <v>430000</v>
          </cell>
          <cell r="Q207">
            <v>93382</v>
          </cell>
          <cell r="R207">
            <v>112000</v>
          </cell>
          <cell r="S207">
            <v>0</v>
          </cell>
          <cell r="T207">
            <v>1</v>
          </cell>
        </row>
        <row r="208">
          <cell r="B208">
            <v>1345200930</v>
          </cell>
          <cell r="C208" t="str">
            <v>930</v>
          </cell>
          <cell r="D208" t="str">
            <v>345200</v>
          </cell>
          <cell r="E208" t="str">
            <v>מפגרים במעון אמוני+מעשי"ם</v>
          </cell>
          <cell r="F208">
            <v>7000</v>
          </cell>
          <cell r="G208">
            <v>5171</v>
          </cell>
          <cell r="H208">
            <v>6205.2</v>
          </cell>
          <cell r="I208">
            <v>7000</v>
          </cell>
          <cell r="J208" t="e">
            <v>#REF!</v>
          </cell>
          <cell r="K208" t="e">
            <v>#REF!</v>
          </cell>
          <cell r="L208">
            <v>5000</v>
          </cell>
          <cell r="M208">
            <v>5000</v>
          </cell>
          <cell r="N208">
            <v>5000</v>
          </cell>
          <cell r="O208">
            <v>109067</v>
          </cell>
          <cell r="P208">
            <v>566000</v>
          </cell>
          <cell r="Q208">
            <v>359159</v>
          </cell>
          <cell r="R208">
            <v>430000</v>
          </cell>
          <cell r="S208">
            <v>0</v>
          </cell>
          <cell r="T208">
            <v>1</v>
          </cell>
        </row>
        <row r="209">
          <cell r="B209">
            <v>1345300930</v>
          </cell>
          <cell r="C209" t="str">
            <v>930</v>
          </cell>
          <cell r="D209" t="str">
            <v>345300</v>
          </cell>
          <cell r="E209" t="str">
            <v>שרותים תומכים למפגר</v>
          </cell>
          <cell r="F209">
            <v>100000</v>
          </cell>
          <cell r="G209">
            <v>125952</v>
          </cell>
          <cell r="H209">
            <v>203584</v>
          </cell>
          <cell r="I209">
            <v>210000</v>
          </cell>
          <cell r="J209" t="e">
            <v>#REF!</v>
          </cell>
          <cell r="K209" t="e">
            <v>#REF!</v>
          </cell>
          <cell r="L209">
            <v>250000</v>
          </cell>
          <cell r="M209">
            <v>180000</v>
          </cell>
          <cell r="N209">
            <v>180000</v>
          </cell>
          <cell r="O209" t="e">
            <v>#N/A</v>
          </cell>
          <cell r="P209">
            <v>0</v>
          </cell>
          <cell r="Q209">
            <v>22341</v>
          </cell>
          <cell r="R209">
            <v>27000</v>
          </cell>
          <cell r="S209">
            <v>0</v>
          </cell>
          <cell r="T209">
            <v>1</v>
          </cell>
        </row>
        <row r="210">
          <cell r="B210">
            <v>1345350930</v>
          </cell>
          <cell r="C210" t="str">
            <v>930</v>
          </cell>
          <cell r="D210" t="str">
            <v>345350</v>
          </cell>
          <cell r="E210" t="str">
            <v>שיקום נכים בקהילה</v>
          </cell>
          <cell r="F210">
            <v>545000</v>
          </cell>
          <cell r="G210">
            <v>434126</v>
          </cell>
          <cell r="H210">
            <v>520951.2</v>
          </cell>
          <cell r="I210">
            <v>595000</v>
          </cell>
          <cell r="J210" t="e">
            <v>#REF!</v>
          </cell>
          <cell r="K210" t="e">
            <v>#REF!</v>
          </cell>
          <cell r="L210">
            <v>550000</v>
          </cell>
          <cell r="M210">
            <v>550000</v>
          </cell>
          <cell r="N210">
            <v>550000</v>
          </cell>
          <cell r="O210" t="e">
            <v>#N/A</v>
          </cell>
          <cell r="P210">
            <v>19000</v>
          </cell>
          <cell r="Q210">
            <v>60322</v>
          </cell>
          <cell r="R210">
            <v>72000</v>
          </cell>
          <cell r="S210">
            <v>0</v>
          </cell>
          <cell r="T210">
            <v>1</v>
          </cell>
        </row>
        <row r="211">
          <cell r="B211">
            <v>1345400930</v>
          </cell>
          <cell r="C211" t="str">
            <v>930</v>
          </cell>
          <cell r="D211" t="str">
            <v>345400</v>
          </cell>
          <cell r="E211" t="str">
            <v>הסעות וליווי מ.יום למפגר</v>
          </cell>
          <cell r="F211">
            <v>18000</v>
          </cell>
          <cell r="G211">
            <v>0</v>
          </cell>
          <cell r="H211">
            <v>0</v>
          </cell>
          <cell r="I211">
            <v>0</v>
          </cell>
          <cell r="J211" t="e">
            <v>#REF!</v>
          </cell>
          <cell r="K211" t="e">
            <v>#REF!</v>
          </cell>
          <cell r="L211">
            <v>20000</v>
          </cell>
          <cell r="M211">
            <v>22000</v>
          </cell>
          <cell r="N211">
            <v>22000</v>
          </cell>
          <cell r="O211" t="e">
            <v>#N/A</v>
          </cell>
          <cell r="P211">
            <v>502000</v>
          </cell>
          <cell r="Q211">
            <v>340429</v>
          </cell>
          <cell r="R211">
            <v>408000</v>
          </cell>
          <cell r="S211">
            <v>0</v>
          </cell>
          <cell r="T211">
            <v>1</v>
          </cell>
        </row>
        <row r="212">
          <cell r="B212">
            <v>0</v>
          </cell>
          <cell r="C212">
            <v>0</v>
          </cell>
          <cell r="D212">
            <v>0</v>
          </cell>
          <cell r="E212" t="str">
            <v>טיפול במפגרים</v>
          </cell>
          <cell r="F212">
            <v>1630000</v>
          </cell>
          <cell r="G212">
            <v>1472345</v>
          </cell>
          <cell r="H212">
            <v>1821892.4</v>
          </cell>
          <cell r="I212">
            <v>1954000</v>
          </cell>
          <cell r="J212" t="e">
            <v>#REF!</v>
          </cell>
          <cell r="K212" t="e">
            <v>#REF!</v>
          </cell>
          <cell r="L212">
            <v>1914628</v>
          </cell>
          <cell r="M212">
            <v>1844000</v>
          </cell>
          <cell r="N212">
            <v>1844000</v>
          </cell>
          <cell r="O212" t="e">
            <v>#N/A</v>
          </cell>
          <cell r="P212">
            <v>1517000</v>
          </cell>
          <cell r="Q212">
            <v>875633</v>
          </cell>
          <cell r="R212">
            <v>1049000</v>
          </cell>
          <cell r="S212">
            <v>0</v>
          </cell>
          <cell r="T212">
            <v>1</v>
          </cell>
        </row>
        <row r="213">
          <cell r="B213">
            <v>1346400930</v>
          </cell>
          <cell r="C213" t="str">
            <v>930</v>
          </cell>
          <cell r="D213" t="str">
            <v>346400</v>
          </cell>
          <cell r="E213" t="str">
            <v>מפעלי תעסוקה</v>
          </cell>
          <cell r="F213">
            <v>0</v>
          </cell>
          <cell r="G213">
            <v>3720</v>
          </cell>
          <cell r="H213">
            <v>4464</v>
          </cell>
          <cell r="I213">
            <v>4500</v>
          </cell>
          <cell r="J213" t="e">
            <v>#REF!</v>
          </cell>
          <cell r="K213" t="e">
            <v>#REF!</v>
          </cell>
          <cell r="L213">
            <v>5000</v>
          </cell>
          <cell r="M213">
            <v>5000</v>
          </cell>
          <cell r="N213">
            <v>5000</v>
          </cell>
          <cell r="O213">
            <v>0</v>
          </cell>
          <cell r="P213">
            <v>10000</v>
          </cell>
          <cell r="Q213">
            <v>8788</v>
          </cell>
          <cell r="R213">
            <v>11000</v>
          </cell>
          <cell r="S213">
            <v>0</v>
          </cell>
          <cell r="T213">
            <v>1</v>
          </cell>
        </row>
        <row r="214">
          <cell r="B214">
            <v>1346410930</v>
          </cell>
          <cell r="C214" t="str">
            <v>930</v>
          </cell>
          <cell r="D214" t="str">
            <v>346410</v>
          </cell>
          <cell r="E214" t="str">
            <v>דמי תקשורת חרשים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5145</v>
          </cell>
          <cell r="K214">
            <v>5145</v>
          </cell>
          <cell r="L214">
            <v>5145</v>
          </cell>
          <cell r="M214">
            <v>7000</v>
          </cell>
          <cell r="N214">
            <v>7000</v>
          </cell>
          <cell r="O214" t="e">
            <v>#N/A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1</v>
          </cell>
        </row>
        <row r="215">
          <cell r="B215">
            <v>1346610930</v>
          </cell>
          <cell r="C215" t="str">
            <v>930</v>
          </cell>
          <cell r="D215" t="str">
            <v>346610</v>
          </cell>
          <cell r="E215" t="str">
            <v>מעדוניות משותפות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15431</v>
          </cell>
          <cell r="K215">
            <v>26453.14285714279</v>
          </cell>
          <cell r="L215">
            <v>20431</v>
          </cell>
          <cell r="M215">
            <v>23300</v>
          </cell>
          <cell r="N215">
            <v>23300</v>
          </cell>
          <cell r="O215" t="e">
            <v>#N/A</v>
          </cell>
          <cell r="P215">
            <v>82000</v>
          </cell>
          <cell r="Q215">
            <v>69410</v>
          </cell>
          <cell r="R215">
            <v>83000</v>
          </cell>
          <cell r="S215">
            <v>0</v>
          </cell>
          <cell r="T215">
            <v>1</v>
          </cell>
        </row>
        <row r="216">
          <cell r="B216">
            <v>1346700930</v>
          </cell>
          <cell r="C216" t="str">
            <v>930</v>
          </cell>
          <cell r="D216" t="str">
            <v>346700</v>
          </cell>
          <cell r="E216" t="str">
            <v>נושמים לרווחה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40000</v>
          </cell>
          <cell r="Q216">
            <v>47932</v>
          </cell>
          <cell r="R216">
            <v>58000</v>
          </cell>
          <cell r="S216">
            <v>0</v>
          </cell>
          <cell r="T216">
            <v>0</v>
          </cell>
        </row>
        <row r="217">
          <cell r="B217">
            <v>1346800930</v>
          </cell>
          <cell r="C217" t="str">
            <v>930</v>
          </cell>
          <cell r="D217" t="str">
            <v>346800</v>
          </cell>
          <cell r="E217" t="str">
            <v>מפעלי שיקום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 t="e">
            <v>#N/A</v>
          </cell>
          <cell r="P217">
            <v>167000</v>
          </cell>
          <cell r="Q217">
            <v>126986</v>
          </cell>
          <cell r="R217">
            <v>152000</v>
          </cell>
          <cell r="S217">
            <v>0</v>
          </cell>
          <cell r="T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E218" t="str">
            <v>שיקום הפרט</v>
          </cell>
          <cell r="F218">
            <v>0</v>
          </cell>
          <cell r="G218">
            <v>3720</v>
          </cell>
          <cell r="H218">
            <v>4464</v>
          </cell>
          <cell r="I218">
            <v>4500</v>
          </cell>
          <cell r="J218" t="e">
            <v>#REF!</v>
          </cell>
          <cell r="K218" t="e">
            <v>#REF!</v>
          </cell>
          <cell r="L218">
            <v>30576</v>
          </cell>
          <cell r="M218">
            <v>35300</v>
          </cell>
          <cell r="N218">
            <v>35300</v>
          </cell>
          <cell r="O218" t="e">
            <v>#N/A</v>
          </cell>
          <cell r="P218">
            <v>299000</v>
          </cell>
          <cell r="Q218">
            <v>253116</v>
          </cell>
          <cell r="R218">
            <v>304000</v>
          </cell>
          <cell r="S218">
            <v>0</v>
          </cell>
          <cell r="T218">
            <v>1</v>
          </cell>
        </row>
        <row r="219">
          <cell r="B219">
            <v>1347100930</v>
          </cell>
          <cell r="C219" t="str">
            <v>930</v>
          </cell>
          <cell r="D219" t="str">
            <v>347100</v>
          </cell>
          <cell r="E219" t="str">
            <v>מעלים לנוער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4000</v>
          </cell>
          <cell r="Q219">
            <v>47178</v>
          </cell>
          <cell r="R219">
            <v>57000</v>
          </cell>
          <cell r="S219">
            <v>0</v>
          </cell>
          <cell r="T219">
            <v>0</v>
          </cell>
        </row>
        <row r="220">
          <cell r="B220">
            <v>1347200930</v>
          </cell>
          <cell r="C220" t="str">
            <v>930</v>
          </cell>
          <cell r="D220" t="str">
            <v>347200</v>
          </cell>
          <cell r="E220" t="str">
            <v>מלב"ם ויזמות ברווחה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B221">
            <v>1347300990</v>
          </cell>
          <cell r="C221" t="str">
            <v>990</v>
          </cell>
          <cell r="D221" t="str">
            <v>347300</v>
          </cell>
          <cell r="E221" t="str">
            <v>רשות מלחמה בסמים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 t="str">
            <v>שירותים אחרים רווחה</v>
          </cell>
          <cell r="F222" t="e">
            <v>#REF!</v>
          </cell>
          <cell r="G222" t="e">
            <v>#REF!</v>
          </cell>
          <cell r="H222" t="e">
            <v>#REF!</v>
          </cell>
          <cell r="I222" t="e">
            <v>#REF!</v>
          </cell>
          <cell r="J222" t="e">
            <v>#REF!</v>
          </cell>
          <cell r="K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4000</v>
          </cell>
          <cell r="Q222">
            <v>47178</v>
          </cell>
          <cell r="R222">
            <v>57000</v>
          </cell>
          <cell r="S222">
            <v>0</v>
          </cell>
          <cell r="T222">
            <v>1</v>
          </cell>
        </row>
        <row r="223">
          <cell r="B223">
            <v>0</v>
          </cell>
          <cell r="C223">
            <v>0</v>
          </cell>
          <cell r="D223">
            <v>0</v>
          </cell>
          <cell r="E223" t="str">
            <v>סה"כ רווחה</v>
          </cell>
          <cell r="F223" t="e">
            <v>#REF!</v>
          </cell>
          <cell r="G223" t="e">
            <v>#REF!</v>
          </cell>
          <cell r="H223" t="e">
            <v>#REF!</v>
          </cell>
          <cell r="I223" t="e">
            <v>#REF!</v>
          </cell>
          <cell r="J223" t="e">
            <v>#REF!</v>
          </cell>
          <cell r="K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6640000</v>
          </cell>
          <cell r="Q223">
            <v>5369015</v>
          </cell>
          <cell r="R223">
            <v>6442000</v>
          </cell>
          <cell r="S223">
            <v>0</v>
          </cell>
          <cell r="T223">
            <v>1</v>
          </cell>
        </row>
        <row r="224">
          <cell r="B224">
            <v>0</v>
          </cell>
          <cell r="C224" t="str">
            <v>מים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1</v>
          </cell>
        </row>
        <row r="225">
          <cell r="B225">
            <v>1413100410</v>
          </cell>
          <cell r="C225" t="str">
            <v>410</v>
          </cell>
          <cell r="D225" t="str">
            <v>413100</v>
          </cell>
          <cell r="E225" t="str">
            <v>אגרת מים-צריכה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2213000</v>
          </cell>
          <cell r="Q225">
            <v>2050000</v>
          </cell>
          <cell r="R225">
            <v>2500000</v>
          </cell>
          <cell r="S225">
            <v>0</v>
          </cell>
          <cell r="T225">
            <v>0</v>
          </cell>
        </row>
        <row r="226">
          <cell r="B226">
            <v>1413110410</v>
          </cell>
          <cell r="C226" t="str">
            <v>410</v>
          </cell>
          <cell r="D226" t="str">
            <v>413110</v>
          </cell>
          <cell r="E226" t="str">
            <v>צריכת מים פיגורים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1405000</v>
          </cell>
          <cell r="Q226">
            <v>1600000</v>
          </cell>
          <cell r="R226">
            <v>1950500</v>
          </cell>
          <cell r="S226">
            <v>0</v>
          </cell>
          <cell r="T226">
            <v>0</v>
          </cell>
        </row>
        <row r="227">
          <cell r="B227">
            <v>1413111410</v>
          </cell>
          <cell r="C227" t="str">
            <v>410</v>
          </cell>
          <cell r="D227" t="str">
            <v>413111</v>
          </cell>
          <cell r="E227" t="str">
            <v>מים פיגורים 2008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58000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B228">
            <v>1413112410</v>
          </cell>
          <cell r="C228" t="str">
            <v>410</v>
          </cell>
          <cell r="D228" t="str">
            <v>413112</v>
          </cell>
          <cell r="E228" t="str">
            <v>מים פיגורים 2009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48000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B229">
            <v>1413113410</v>
          </cell>
          <cell r="C229" t="str">
            <v>410</v>
          </cell>
          <cell r="D229" t="str">
            <v>413113</v>
          </cell>
          <cell r="E229" t="str">
            <v>מים פיגורים 2010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78000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B230">
            <v>1413114410</v>
          </cell>
          <cell r="C230" t="str">
            <v>410</v>
          </cell>
          <cell r="D230" t="str">
            <v>413114</v>
          </cell>
          <cell r="E230" t="str">
            <v>מים פיגורים 2011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91000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B231">
            <v>1413115410</v>
          </cell>
          <cell r="C231" t="str">
            <v>410</v>
          </cell>
          <cell r="D231" t="str">
            <v>413115</v>
          </cell>
          <cell r="E231" t="str">
            <v>מים פיגורים 2012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74000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B232">
            <v>1413116410</v>
          </cell>
          <cell r="C232" t="str">
            <v>410</v>
          </cell>
          <cell r="D232" t="str">
            <v>413116</v>
          </cell>
          <cell r="E232" t="str">
            <v>מים פיגורים 2013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128000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B233">
            <v>1413117410</v>
          </cell>
          <cell r="C233" t="str">
            <v>410</v>
          </cell>
          <cell r="D233" t="str">
            <v>413117</v>
          </cell>
          <cell r="E233" t="str">
            <v>מים פיגורים 2014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361000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B234">
            <v>1413118410</v>
          </cell>
          <cell r="C234" t="str">
            <v>410</v>
          </cell>
          <cell r="D234" t="str">
            <v>413118</v>
          </cell>
          <cell r="E234" t="str">
            <v>מים פיגורים 2015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B235">
            <v>1413119410</v>
          </cell>
          <cell r="C235" t="str">
            <v>410</v>
          </cell>
          <cell r="D235" t="str">
            <v>413119</v>
          </cell>
          <cell r="E235" t="str">
            <v>מים פיגורים 2016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B236">
            <v>1413120410</v>
          </cell>
          <cell r="C236" t="str">
            <v>410</v>
          </cell>
          <cell r="D236" t="str">
            <v>413120</v>
          </cell>
          <cell r="E236" t="str">
            <v>היטל צריכה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5000</v>
          </cell>
          <cell r="Q236">
            <v>2471.52</v>
          </cell>
          <cell r="R236">
            <v>3000</v>
          </cell>
          <cell r="S236">
            <v>0</v>
          </cell>
          <cell r="T236">
            <v>0</v>
          </cell>
        </row>
        <row r="237">
          <cell r="B237">
            <v>1413130410</v>
          </cell>
          <cell r="C237" t="str">
            <v>410</v>
          </cell>
          <cell r="D237" t="str">
            <v>413130</v>
          </cell>
          <cell r="E237" t="str">
            <v>החזר מים מקורות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B238">
            <v>1413200410</v>
          </cell>
          <cell r="C238" t="str">
            <v>410</v>
          </cell>
          <cell r="D238" t="str">
            <v>413200</v>
          </cell>
          <cell r="E238" t="str">
            <v>מוני מים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15000</v>
          </cell>
          <cell r="Q238">
            <v>6428.77</v>
          </cell>
          <cell r="R238">
            <v>8000</v>
          </cell>
          <cell r="S238">
            <v>0</v>
          </cell>
          <cell r="T238">
            <v>0</v>
          </cell>
        </row>
        <row r="239">
          <cell r="B239">
            <v>1413300210</v>
          </cell>
          <cell r="C239" t="str">
            <v>210</v>
          </cell>
          <cell r="D239" t="str">
            <v>413300</v>
          </cell>
          <cell r="E239" t="str">
            <v>מדי מים גבעה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12000</v>
          </cell>
          <cell r="Q239">
            <v>84401.12</v>
          </cell>
          <cell r="R239">
            <v>101000</v>
          </cell>
          <cell r="S239">
            <v>0</v>
          </cell>
          <cell r="T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E240" t="str">
            <v>סה"כ מים</v>
          </cell>
          <cell r="F240" t="e">
            <v>#REF!</v>
          </cell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4488000</v>
          </cell>
          <cell r="Q240">
            <v>3743301.41</v>
          </cell>
          <cell r="R240">
            <v>4562500</v>
          </cell>
          <cell r="S240">
            <v>0</v>
          </cell>
          <cell r="T240">
            <v>1</v>
          </cell>
        </row>
        <row r="241">
          <cell r="B241">
            <v>0</v>
          </cell>
          <cell r="C241" t="str">
            <v>ביוב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1</v>
          </cell>
        </row>
        <row r="242">
          <cell r="B242">
            <v>1472000211</v>
          </cell>
          <cell r="C242" t="str">
            <v>211</v>
          </cell>
          <cell r="D242" t="str">
            <v>472000</v>
          </cell>
          <cell r="E242" t="str">
            <v>יתרות ביוב</v>
          </cell>
          <cell r="F242">
            <v>20000</v>
          </cell>
          <cell r="G242">
            <v>6766.56</v>
          </cell>
          <cell r="H242">
            <v>8119.8720000000003</v>
          </cell>
          <cell r="I242">
            <v>8000</v>
          </cell>
          <cell r="J242" t="e">
            <v>#REF!</v>
          </cell>
          <cell r="K242" t="e">
            <v>#REF!</v>
          </cell>
          <cell r="L242">
            <v>8000</v>
          </cell>
          <cell r="M242">
            <v>8000</v>
          </cell>
          <cell r="N242">
            <v>0</v>
          </cell>
          <cell r="O242">
            <v>2029.7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1</v>
          </cell>
        </row>
        <row r="243">
          <cell r="B243">
            <v>1472000810</v>
          </cell>
          <cell r="C243" t="str">
            <v>810</v>
          </cell>
          <cell r="D243" t="str">
            <v>472000</v>
          </cell>
          <cell r="E243" t="str">
            <v>היטל ביוב</v>
          </cell>
          <cell r="F243">
            <v>65000</v>
          </cell>
          <cell r="G243">
            <v>28223.57</v>
          </cell>
          <cell r="H243">
            <v>33868.284</v>
          </cell>
          <cell r="I243">
            <v>37000</v>
          </cell>
          <cell r="J243" t="e">
            <v>#REF!</v>
          </cell>
          <cell r="K243" t="e">
            <v>#REF!</v>
          </cell>
          <cell r="L243">
            <v>20000</v>
          </cell>
          <cell r="M243">
            <v>0</v>
          </cell>
          <cell r="N243">
            <v>0</v>
          </cell>
          <cell r="O243">
            <v>21676.13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1</v>
          </cell>
        </row>
        <row r="244">
          <cell r="B244">
            <v>0</v>
          </cell>
          <cell r="C244">
            <v>0</v>
          </cell>
          <cell r="D244">
            <v>0</v>
          </cell>
          <cell r="E244" t="str">
            <v>סה"כ ביוב</v>
          </cell>
          <cell r="F244">
            <v>85000</v>
          </cell>
          <cell r="G244">
            <v>34990.129999999997</v>
          </cell>
          <cell r="H244">
            <v>41988.156000000003</v>
          </cell>
          <cell r="I244">
            <v>45000</v>
          </cell>
          <cell r="J244" t="e">
            <v>#REF!</v>
          </cell>
          <cell r="K244" t="e">
            <v>#REF!</v>
          </cell>
          <cell r="L244">
            <v>28000</v>
          </cell>
          <cell r="M244">
            <v>8000</v>
          </cell>
          <cell r="N244">
            <v>0</v>
          </cell>
          <cell r="O244">
            <v>23705.83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1</v>
          </cell>
        </row>
        <row r="245">
          <cell r="B245">
            <v>0</v>
          </cell>
          <cell r="C245" t="str">
            <v>תקבולים אחרים וחד פעמיים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1</v>
          </cell>
        </row>
        <row r="246">
          <cell r="B246">
            <v>1513000510</v>
          </cell>
          <cell r="C246" t="str">
            <v>510</v>
          </cell>
          <cell r="D246" t="str">
            <v>513000</v>
          </cell>
          <cell r="E246" t="str">
            <v>החזר הוצ" שנים קודמות</v>
          </cell>
          <cell r="F246">
            <v>20000</v>
          </cell>
          <cell r="G246">
            <v>15254.33</v>
          </cell>
          <cell r="H246">
            <v>18305.196</v>
          </cell>
          <cell r="I246">
            <v>18305.196</v>
          </cell>
          <cell r="J246" t="e">
            <v>#REF!</v>
          </cell>
          <cell r="K246" t="e">
            <v>#REF!</v>
          </cell>
          <cell r="L246">
            <v>32000</v>
          </cell>
          <cell r="M246">
            <v>32000</v>
          </cell>
          <cell r="N246">
            <v>0</v>
          </cell>
          <cell r="O246" t="e">
            <v>#N/A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1</v>
          </cell>
        </row>
        <row r="247">
          <cell r="B247">
            <v>1550000591</v>
          </cell>
          <cell r="C247" t="str">
            <v>591</v>
          </cell>
          <cell r="D247" t="str">
            <v>550000</v>
          </cell>
          <cell r="E247" t="str">
            <v>הכנסות בלתי רגלים</v>
          </cell>
          <cell r="F247">
            <v>0</v>
          </cell>
          <cell r="G247">
            <v>44646</v>
          </cell>
          <cell r="H247">
            <v>55000</v>
          </cell>
          <cell r="I247">
            <v>70000</v>
          </cell>
          <cell r="J247" t="e">
            <v>#REF!</v>
          </cell>
          <cell r="K247">
            <v>89292</v>
          </cell>
          <cell r="L247">
            <v>89292</v>
          </cell>
          <cell r="M247">
            <v>89000</v>
          </cell>
          <cell r="N247">
            <v>89000</v>
          </cell>
          <cell r="O247" t="e">
            <v>#N/A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1</v>
          </cell>
        </row>
        <row r="248">
          <cell r="B248">
            <v>1552000910</v>
          </cell>
          <cell r="C248" t="str">
            <v>910</v>
          </cell>
          <cell r="D248" t="str">
            <v>552000</v>
          </cell>
          <cell r="E248" t="str">
            <v>מענק לכיסוי גרעון</v>
          </cell>
          <cell r="F248">
            <v>180000</v>
          </cell>
          <cell r="G248">
            <v>57799.19</v>
          </cell>
          <cell r="H248">
            <v>250000</v>
          </cell>
          <cell r="I248">
            <v>250000</v>
          </cell>
          <cell r="J248" t="e">
            <v>#REF!</v>
          </cell>
          <cell r="K248" t="e">
            <v>#REF!</v>
          </cell>
          <cell r="L248">
            <v>100000</v>
          </cell>
          <cell r="M248">
            <v>80000</v>
          </cell>
          <cell r="N248">
            <v>240000</v>
          </cell>
          <cell r="O248" t="e">
            <v>#N/A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1</v>
          </cell>
        </row>
        <row r="249">
          <cell r="B249">
            <v>0</v>
          </cell>
          <cell r="C249">
            <v>0</v>
          </cell>
          <cell r="D249">
            <v>0</v>
          </cell>
          <cell r="E249" t="str">
            <v>תקבולים אחרים וחד פעמיים</v>
          </cell>
          <cell r="F249">
            <v>200000</v>
          </cell>
          <cell r="G249">
            <v>117699.52</v>
          </cell>
          <cell r="H249">
            <v>323305.196</v>
          </cell>
          <cell r="I249">
            <v>338305.196</v>
          </cell>
          <cell r="J249" t="e">
            <v>#REF!</v>
          </cell>
          <cell r="K249" t="e">
            <v>#REF!</v>
          </cell>
          <cell r="L249">
            <v>221292</v>
          </cell>
          <cell r="M249">
            <v>201000</v>
          </cell>
          <cell r="N249">
            <v>329000</v>
          </cell>
          <cell r="O249" t="e">
            <v>#N/A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</v>
          </cell>
        </row>
        <row r="250">
          <cell r="B250">
            <v>0</v>
          </cell>
          <cell r="C250">
            <v>0</v>
          </cell>
          <cell r="D250">
            <v>0</v>
          </cell>
          <cell r="E250" t="str">
            <v>סה"כ תקבולים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#N/A</v>
          </cell>
          <cell r="P250">
            <v>62584000</v>
          </cell>
          <cell r="Q250">
            <v>59286175.950000003</v>
          </cell>
          <cell r="R250">
            <v>71088499.752000004</v>
          </cell>
          <cell r="S250">
            <v>0</v>
          </cell>
          <cell r="T250">
            <v>1</v>
          </cell>
        </row>
      </sheetData>
      <sheetData sheetId="17">
        <row r="1">
          <cell r="T1">
            <v>0</v>
          </cell>
        </row>
        <row r="2">
          <cell r="B2" t="str">
            <v>מס' כרטיס</v>
          </cell>
          <cell r="C2" t="str">
            <v>סעיף</v>
          </cell>
          <cell r="D2" t="str">
            <v>פרק</v>
          </cell>
          <cell r="E2" t="str">
            <v>שם כרטיס</v>
          </cell>
          <cell r="F2" t="str">
            <v>תקציב 2014</v>
          </cell>
          <cell r="G2" t="str">
            <v>ביצוע עד 10/2014</v>
          </cell>
          <cell r="H2" t="str">
            <v>ביצוע משוער 2014</v>
          </cell>
          <cell r="I2" t="str">
            <v>תקציב 2015</v>
          </cell>
          <cell r="J2" t="str">
            <v>ביצוע 1-7/2015</v>
          </cell>
          <cell r="K2" t="str">
            <v>ביצוע משוער 2015</v>
          </cell>
          <cell r="L2" t="str">
            <v xml:space="preserve">עדכון תקציב 2015 מס' 2 </v>
          </cell>
          <cell r="M2" t="str">
            <v>ביצוע חזוי 2015</v>
          </cell>
          <cell r="N2" t="str">
            <v>תקציב 2016</v>
          </cell>
          <cell r="O2" t="str">
            <v>ביצוע 31.08</v>
          </cell>
          <cell r="P2" t="str">
            <v>תקציב 2017</v>
          </cell>
          <cell r="Q2" t="str">
            <v>ביצוע 1-10/2017</v>
          </cell>
          <cell r="R2" t="str">
            <v>עדכון תקציב 2017</v>
          </cell>
          <cell r="S2" t="str">
            <v>משרות</v>
          </cell>
          <cell r="T2">
            <v>0</v>
          </cell>
        </row>
        <row r="3">
          <cell r="B3">
            <v>0</v>
          </cell>
          <cell r="C3" t="str">
            <v>הנהלה וכלליות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B4">
            <v>1611100110</v>
          </cell>
          <cell r="C4" t="str">
            <v>110</v>
          </cell>
          <cell r="D4" t="str">
            <v>611100</v>
          </cell>
          <cell r="E4" t="str">
            <v>מש.נבחרים</v>
          </cell>
          <cell r="F4">
            <v>748160</v>
          </cell>
          <cell r="G4">
            <v>617437.53</v>
          </cell>
          <cell r="H4">
            <v>740925.03600000008</v>
          </cell>
          <cell r="I4">
            <v>755642</v>
          </cell>
          <cell r="J4" t="e">
            <v>#REF!</v>
          </cell>
          <cell r="K4" t="e">
            <v>#REF!</v>
          </cell>
          <cell r="L4">
            <v>753946</v>
          </cell>
          <cell r="M4">
            <v>752700</v>
          </cell>
          <cell r="N4">
            <v>755000</v>
          </cell>
          <cell r="O4">
            <v>487900.45</v>
          </cell>
          <cell r="P4">
            <v>1172000</v>
          </cell>
          <cell r="Q4">
            <v>1020928.08</v>
          </cell>
          <cell r="R4">
            <v>1360000</v>
          </cell>
          <cell r="S4">
            <v>0</v>
          </cell>
          <cell r="T4">
            <v>60207</v>
          </cell>
        </row>
        <row r="5">
          <cell r="B5">
            <v>1611000310</v>
          </cell>
          <cell r="C5" t="str">
            <v>310</v>
          </cell>
          <cell r="D5" t="str">
            <v>611000</v>
          </cell>
          <cell r="E5" t="str">
            <v>פנסיה נבחרים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>
            <v>1611100310</v>
          </cell>
          <cell r="C7" t="str">
            <v>310</v>
          </cell>
          <cell r="D7" t="str">
            <v>611100</v>
          </cell>
          <cell r="E7" t="str">
            <v>משכורת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750000</v>
          </cell>
          <cell r="Q7">
            <v>499939</v>
          </cell>
          <cell r="R7">
            <v>700000</v>
          </cell>
          <cell r="S7">
            <v>0</v>
          </cell>
          <cell r="T7">
            <v>0</v>
          </cell>
        </row>
        <row r="8">
          <cell r="B8">
            <v>1611100440</v>
          </cell>
          <cell r="C8" t="str">
            <v>440</v>
          </cell>
          <cell r="D8" t="str">
            <v>611100</v>
          </cell>
          <cell r="E8" t="str">
            <v>ביטוחים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19000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B9">
            <v>1611100510</v>
          </cell>
          <cell r="C9" t="str">
            <v>510</v>
          </cell>
          <cell r="D9" t="str">
            <v>611100</v>
          </cell>
          <cell r="E9" t="str">
            <v>כיבודים ואירוח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</row>
        <row r="10">
          <cell r="B10">
            <v>1611100514</v>
          </cell>
          <cell r="C10" t="str">
            <v>514</v>
          </cell>
          <cell r="D10" t="str">
            <v>611100</v>
          </cell>
          <cell r="E10" t="str">
            <v>החזר מתנות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16000</v>
          </cell>
          <cell r="Q10">
            <v>0</v>
          </cell>
          <cell r="R10">
            <v>16000</v>
          </cell>
          <cell r="S10">
            <v>0</v>
          </cell>
          <cell r="T10">
            <v>0</v>
          </cell>
        </row>
        <row r="11">
          <cell r="B11">
            <v>1611100521</v>
          </cell>
          <cell r="C11" t="str">
            <v>521</v>
          </cell>
          <cell r="D11" t="str">
            <v>611100</v>
          </cell>
          <cell r="E11" t="str">
            <v>השתלמויות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2000</v>
          </cell>
          <cell r="R11">
            <v>3000</v>
          </cell>
          <cell r="S11">
            <v>0</v>
          </cell>
          <cell r="T11">
            <v>0</v>
          </cell>
        </row>
        <row r="12">
          <cell r="B12">
            <v>1611100525</v>
          </cell>
          <cell r="C12" t="str">
            <v>525</v>
          </cell>
          <cell r="D12" t="str">
            <v>611100</v>
          </cell>
          <cell r="E12" t="str">
            <v>אבטחת יו"ר מאויים6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97670</v>
          </cell>
          <cell r="R12">
            <v>98000</v>
          </cell>
          <cell r="S12">
            <v>0</v>
          </cell>
          <cell r="T12">
            <v>0</v>
          </cell>
        </row>
        <row r="13">
          <cell r="B13">
            <v>1611100531</v>
          </cell>
          <cell r="C13" t="str">
            <v>531</v>
          </cell>
          <cell r="D13" t="str">
            <v>611100</v>
          </cell>
          <cell r="E13" t="str">
            <v>רכב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42395</v>
          </cell>
          <cell r="R13">
            <v>52000</v>
          </cell>
          <cell r="S13">
            <v>0</v>
          </cell>
          <cell r="T13">
            <v>0</v>
          </cell>
        </row>
        <row r="14">
          <cell r="B14">
            <v>1611100540</v>
          </cell>
          <cell r="C14" t="str">
            <v>540</v>
          </cell>
          <cell r="D14" t="str">
            <v>611100</v>
          </cell>
          <cell r="E14" t="str">
            <v>טלפונים הוצ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12000</v>
          </cell>
          <cell r="Q14">
            <v>36994.410000000003</v>
          </cell>
          <cell r="R14">
            <v>45000</v>
          </cell>
          <cell r="S14">
            <v>0</v>
          </cell>
          <cell r="T14">
            <v>0</v>
          </cell>
        </row>
        <row r="15">
          <cell r="B15">
            <v>1611100550</v>
          </cell>
          <cell r="C15" t="str">
            <v>550</v>
          </cell>
          <cell r="D15" t="str">
            <v>611100</v>
          </cell>
          <cell r="E15" t="str">
            <v>מחשוב לשכת ראש מועצה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>
            <v>1611100810</v>
          </cell>
          <cell r="C16" t="str">
            <v>810</v>
          </cell>
          <cell r="D16" t="str">
            <v>611100</v>
          </cell>
          <cell r="E16" t="str">
            <v>ועד ארצי לראשי רשיות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>
            <v>1611100910</v>
          </cell>
          <cell r="C17" t="str">
            <v>910</v>
          </cell>
          <cell r="D17" t="str">
            <v>611100</v>
          </cell>
          <cell r="E17" t="str">
            <v>השתתפות בתב"ר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B18">
            <v>1611120110</v>
          </cell>
          <cell r="C18" t="str">
            <v>110</v>
          </cell>
          <cell r="D18" t="str">
            <v>611120</v>
          </cell>
          <cell r="E18" t="str">
            <v>יועץ לראש המועצה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>
            <v>1611130110</v>
          </cell>
          <cell r="C19" t="str">
            <v>110</v>
          </cell>
          <cell r="D19" t="str">
            <v>611130</v>
          </cell>
          <cell r="E19" t="str">
            <v>נהג ליו"ר ופקיד שליחיות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B20">
            <v>1611200110</v>
          </cell>
          <cell r="C20" t="str">
            <v>110</v>
          </cell>
          <cell r="D20" t="str">
            <v>611200</v>
          </cell>
          <cell r="E20" t="str">
            <v>משכורת שרתים מועצה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 t="str">
            <v>מועצה והנהלה</v>
          </cell>
          <cell r="F21">
            <v>748160</v>
          </cell>
          <cell r="G21">
            <v>617437.53</v>
          </cell>
          <cell r="H21">
            <v>740925.03600000008</v>
          </cell>
          <cell r="I21">
            <v>755642</v>
          </cell>
          <cell r="J21" t="e">
            <v>#REF!</v>
          </cell>
          <cell r="K21" t="e">
            <v>#REF!</v>
          </cell>
          <cell r="L21">
            <v>753946</v>
          </cell>
          <cell r="M21">
            <v>752700</v>
          </cell>
          <cell r="N21">
            <v>755000</v>
          </cell>
          <cell r="O21">
            <v>487900.45</v>
          </cell>
          <cell r="P21">
            <v>1973000</v>
          </cell>
          <cell r="Q21">
            <v>1699926.49</v>
          </cell>
          <cell r="R21">
            <v>2278000</v>
          </cell>
          <cell r="S21">
            <v>0</v>
          </cell>
          <cell r="T21">
            <v>0</v>
          </cell>
        </row>
        <row r="22">
          <cell r="B22">
            <v>1612000310</v>
          </cell>
          <cell r="C22" t="str">
            <v>310</v>
          </cell>
          <cell r="D22" t="str">
            <v>612000</v>
          </cell>
          <cell r="E22" t="str">
            <v>פנסיונרים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688000</v>
          </cell>
          <cell r="Q22">
            <v>689831.22</v>
          </cell>
          <cell r="R22">
            <v>920000</v>
          </cell>
          <cell r="S22">
            <v>0</v>
          </cell>
          <cell r="T22">
            <v>0</v>
          </cell>
        </row>
        <row r="23">
          <cell r="B23">
            <v>1612000521</v>
          </cell>
          <cell r="C23" t="str">
            <v>521</v>
          </cell>
          <cell r="D23" t="str">
            <v>612000</v>
          </cell>
          <cell r="E23" t="str">
            <v>השתלמות פנסיונרים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9000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B24">
            <v>1612100110</v>
          </cell>
          <cell r="C24" t="str">
            <v>110</v>
          </cell>
          <cell r="D24" t="str">
            <v>612100</v>
          </cell>
          <cell r="E24" t="str">
            <v>מבקר פנים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247000</v>
          </cell>
          <cell r="Q24">
            <v>163358.16</v>
          </cell>
          <cell r="R24">
            <v>218000</v>
          </cell>
          <cell r="S24">
            <v>0</v>
          </cell>
          <cell r="T24">
            <v>0</v>
          </cell>
        </row>
        <row r="25">
          <cell r="B25">
            <v>1612200110</v>
          </cell>
          <cell r="C25" t="str">
            <v>110</v>
          </cell>
          <cell r="D25" t="str">
            <v>612200</v>
          </cell>
          <cell r="E25" t="str">
            <v>יועץ משפטי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 t="str">
            <v xml:space="preserve">סה"כ </v>
          </cell>
          <cell r="F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944000</v>
          </cell>
          <cell r="Q26">
            <v>853189.38</v>
          </cell>
          <cell r="R26">
            <v>1138000</v>
          </cell>
          <cell r="S26">
            <v>0</v>
          </cell>
          <cell r="T26">
            <v>0</v>
          </cell>
        </row>
        <row r="27">
          <cell r="B27">
            <v>1613000110</v>
          </cell>
          <cell r="C27" t="str">
            <v>110</v>
          </cell>
          <cell r="D27" t="str">
            <v>613000</v>
          </cell>
          <cell r="E27" t="str">
            <v>שכר מזכיר המועצה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399000</v>
          </cell>
          <cell r="Q27">
            <v>243000</v>
          </cell>
          <cell r="R27">
            <v>243000</v>
          </cell>
          <cell r="S27">
            <v>0</v>
          </cell>
          <cell r="T27">
            <v>0</v>
          </cell>
        </row>
        <row r="28">
          <cell r="B28">
            <v>1613000400</v>
          </cell>
          <cell r="C28" t="str">
            <v>400</v>
          </cell>
          <cell r="D28" t="str">
            <v>613000</v>
          </cell>
          <cell r="E28" t="str">
            <v>אחזקת בנינים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6000</v>
          </cell>
          <cell r="Q28">
            <v>12098.63</v>
          </cell>
          <cell r="R28">
            <v>15000</v>
          </cell>
          <cell r="S28">
            <v>0</v>
          </cell>
          <cell r="T28">
            <v>0</v>
          </cell>
        </row>
        <row r="29">
          <cell r="B29">
            <v>1613000431</v>
          </cell>
          <cell r="C29" t="str">
            <v>431</v>
          </cell>
          <cell r="D29" t="str">
            <v>613000</v>
          </cell>
          <cell r="E29" t="str">
            <v>חשמל למועצה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18000</v>
          </cell>
          <cell r="Q29">
            <v>8210.44</v>
          </cell>
          <cell r="R29">
            <v>10000</v>
          </cell>
          <cell r="S29">
            <v>0</v>
          </cell>
          <cell r="T29">
            <v>0</v>
          </cell>
        </row>
        <row r="30">
          <cell r="B30">
            <v>1613000432</v>
          </cell>
          <cell r="C30" t="str">
            <v>432</v>
          </cell>
          <cell r="D30" t="str">
            <v>613000</v>
          </cell>
          <cell r="E30" t="str">
            <v>מים למועצה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18000</v>
          </cell>
          <cell r="Q30">
            <v>0</v>
          </cell>
          <cell r="R30">
            <v>18000</v>
          </cell>
          <cell r="S30">
            <v>0</v>
          </cell>
          <cell r="T30">
            <v>0</v>
          </cell>
        </row>
        <row r="31">
          <cell r="B31">
            <v>1613000433</v>
          </cell>
          <cell r="C31" t="str">
            <v>433</v>
          </cell>
          <cell r="D31" t="str">
            <v>613000</v>
          </cell>
          <cell r="E31" t="str">
            <v>חומרי ניקוי וציוד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8000</v>
          </cell>
          <cell r="Q31">
            <v>11901</v>
          </cell>
          <cell r="R31">
            <v>14000</v>
          </cell>
          <cell r="S31">
            <v>0</v>
          </cell>
          <cell r="T31">
            <v>0</v>
          </cell>
        </row>
        <row r="32">
          <cell r="B32">
            <v>1613000440</v>
          </cell>
          <cell r="C32" t="str">
            <v>440</v>
          </cell>
          <cell r="D32" t="str">
            <v>613000</v>
          </cell>
          <cell r="E32" t="str">
            <v>ביטוחים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193000</v>
          </cell>
          <cell r="Q32">
            <v>409000</v>
          </cell>
          <cell r="R32">
            <v>409000</v>
          </cell>
          <cell r="S32">
            <v>0</v>
          </cell>
          <cell r="T32">
            <v>0</v>
          </cell>
        </row>
        <row r="33">
          <cell r="B33">
            <v>1613000450</v>
          </cell>
          <cell r="C33" t="str">
            <v>450</v>
          </cell>
          <cell r="D33" t="str">
            <v>613000</v>
          </cell>
          <cell r="E33" t="str">
            <v>רהוט והחזקתו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15584.4</v>
          </cell>
          <cell r="R33">
            <v>19000</v>
          </cell>
          <cell r="S33">
            <v>0</v>
          </cell>
          <cell r="T33">
            <v>0</v>
          </cell>
        </row>
        <row r="34">
          <cell r="B34">
            <v>1613000460</v>
          </cell>
          <cell r="C34" t="str">
            <v>460</v>
          </cell>
          <cell r="D34" t="str">
            <v>613000</v>
          </cell>
          <cell r="E34" t="str">
            <v>מכשירי כתיבה והדפס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17000</v>
          </cell>
          <cell r="Q34">
            <v>19468.8</v>
          </cell>
          <cell r="R34">
            <v>23000</v>
          </cell>
          <cell r="S34">
            <v>0</v>
          </cell>
          <cell r="T34">
            <v>0</v>
          </cell>
        </row>
        <row r="35">
          <cell r="B35">
            <v>1613000470</v>
          </cell>
          <cell r="C35" t="str">
            <v>470</v>
          </cell>
          <cell r="D35" t="str">
            <v>613000</v>
          </cell>
          <cell r="E35" t="str">
            <v>מכונות משרד והחזקת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12000</v>
          </cell>
          <cell r="Q35">
            <v>9765.39</v>
          </cell>
          <cell r="R35">
            <v>12000</v>
          </cell>
          <cell r="S35">
            <v>0</v>
          </cell>
          <cell r="T35">
            <v>0</v>
          </cell>
        </row>
        <row r="36">
          <cell r="B36">
            <v>1613000510</v>
          </cell>
          <cell r="C36" t="str">
            <v>510</v>
          </cell>
          <cell r="D36" t="str">
            <v>613000</v>
          </cell>
          <cell r="E36" t="str">
            <v>כיבודים למועצה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21000</v>
          </cell>
          <cell r="Q36">
            <v>25766</v>
          </cell>
          <cell r="R36">
            <v>30000</v>
          </cell>
          <cell r="S36">
            <v>0</v>
          </cell>
          <cell r="T36">
            <v>0</v>
          </cell>
        </row>
        <row r="37">
          <cell r="B37">
            <v>1613000521</v>
          </cell>
          <cell r="C37" t="str">
            <v>521</v>
          </cell>
          <cell r="D37" t="str">
            <v>613000</v>
          </cell>
          <cell r="E37" t="str">
            <v>השתלמויות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80000</v>
          </cell>
          <cell r="Q37">
            <v>85530</v>
          </cell>
          <cell r="R37">
            <v>86000</v>
          </cell>
          <cell r="S37">
            <v>0</v>
          </cell>
          <cell r="T37">
            <v>0</v>
          </cell>
        </row>
        <row r="38">
          <cell r="B38">
            <v>1613000522</v>
          </cell>
          <cell r="C38" t="str">
            <v>522</v>
          </cell>
          <cell r="D38" t="str">
            <v>613000</v>
          </cell>
          <cell r="E38" t="str">
            <v>ספרות מקצועית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1733</v>
          </cell>
          <cell r="R38">
            <v>2000</v>
          </cell>
          <cell r="S38">
            <v>0</v>
          </cell>
          <cell r="T38">
            <v>0</v>
          </cell>
        </row>
        <row r="39">
          <cell r="B39">
            <v>1613000540</v>
          </cell>
          <cell r="C39" t="str">
            <v>540</v>
          </cell>
          <cell r="D39" t="str">
            <v>613000</v>
          </cell>
          <cell r="E39" t="str">
            <v>תקשורת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72000</v>
          </cell>
          <cell r="Q39">
            <v>19165.189999999999</v>
          </cell>
          <cell r="R39">
            <v>23000</v>
          </cell>
          <cell r="S39">
            <v>0</v>
          </cell>
          <cell r="T39">
            <v>0</v>
          </cell>
        </row>
        <row r="40">
          <cell r="B40">
            <v>1613000550</v>
          </cell>
          <cell r="C40" t="str">
            <v>550</v>
          </cell>
          <cell r="D40" t="str">
            <v>613000</v>
          </cell>
          <cell r="E40" t="str">
            <v>פרסומים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19000</v>
          </cell>
          <cell r="Q40">
            <v>83080.5</v>
          </cell>
          <cell r="R40">
            <v>100000</v>
          </cell>
          <cell r="S40">
            <v>0</v>
          </cell>
          <cell r="T40">
            <v>0</v>
          </cell>
        </row>
        <row r="41">
          <cell r="B41">
            <v>1613000560</v>
          </cell>
          <cell r="C41" t="str">
            <v>560</v>
          </cell>
          <cell r="D41" t="str">
            <v>613000</v>
          </cell>
          <cell r="E41" t="str">
            <v>משרדיות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35000</v>
          </cell>
          <cell r="Q41">
            <v>19699</v>
          </cell>
          <cell r="R41">
            <v>25000</v>
          </cell>
          <cell r="S41">
            <v>0</v>
          </cell>
          <cell r="T41">
            <v>0</v>
          </cell>
        </row>
        <row r="42">
          <cell r="B42">
            <v>1613000570</v>
          </cell>
          <cell r="C42" t="str">
            <v>570</v>
          </cell>
          <cell r="D42" t="str">
            <v>613000</v>
          </cell>
          <cell r="E42" t="str">
            <v>מיכון ועיבוד נתונים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B43">
            <v>1613000780</v>
          </cell>
          <cell r="C43">
            <v>780</v>
          </cell>
          <cell r="D43">
            <v>613000</v>
          </cell>
          <cell r="E43" t="str">
            <v>עמותה לקידום מקצועי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70000</v>
          </cell>
          <cell r="Q43">
            <v>0</v>
          </cell>
          <cell r="R43">
            <v>70000</v>
          </cell>
          <cell r="S43">
            <v>0</v>
          </cell>
          <cell r="T43">
            <v>0</v>
          </cell>
        </row>
        <row r="44">
          <cell r="B44">
            <v>1613000930</v>
          </cell>
          <cell r="C44" t="str">
            <v>930</v>
          </cell>
          <cell r="D44" t="str">
            <v>613000</v>
          </cell>
          <cell r="E44" t="str">
            <v>ציוד יסודי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20000</v>
          </cell>
          <cell r="Q44">
            <v>638</v>
          </cell>
          <cell r="R44">
            <v>5000</v>
          </cell>
          <cell r="S44">
            <v>0</v>
          </cell>
          <cell r="T44">
            <v>0</v>
          </cell>
        </row>
        <row r="45">
          <cell r="B45">
            <v>1613100110</v>
          </cell>
          <cell r="C45" t="str">
            <v>110</v>
          </cell>
          <cell r="D45" t="str">
            <v>613100</v>
          </cell>
          <cell r="E45" t="str">
            <v>הוצ משכורת מזכירות מועצה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369000</v>
          </cell>
          <cell r="Q45">
            <v>195581.44</v>
          </cell>
          <cell r="R45">
            <v>250000</v>
          </cell>
          <cell r="S45">
            <v>0</v>
          </cell>
          <cell r="T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 t="str">
            <v>מזכירות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1357000</v>
          </cell>
          <cell r="Q46">
            <v>1160221.79</v>
          </cell>
          <cell r="R46">
            <v>1354000</v>
          </cell>
          <cell r="S46">
            <v>0</v>
          </cell>
          <cell r="T46">
            <v>0</v>
          </cell>
        </row>
        <row r="47">
          <cell r="B47">
            <v>1617000620</v>
          </cell>
          <cell r="C47" t="str">
            <v>620</v>
          </cell>
          <cell r="D47" t="str">
            <v>617000</v>
          </cell>
          <cell r="E47" t="str">
            <v>הוצאות משפטיות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100000</v>
          </cell>
          <cell r="Q47">
            <v>105345.86</v>
          </cell>
          <cell r="R47">
            <v>125000</v>
          </cell>
          <cell r="S47">
            <v>0</v>
          </cell>
          <cell r="T47">
            <v>0</v>
          </cell>
        </row>
        <row r="48">
          <cell r="B48">
            <v>1617000750</v>
          </cell>
          <cell r="C48" t="str">
            <v>750</v>
          </cell>
          <cell r="D48" t="str">
            <v>617000</v>
          </cell>
          <cell r="E48" t="str">
            <v>יעוץ משפטי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224000</v>
          </cell>
          <cell r="Q48">
            <v>223410</v>
          </cell>
          <cell r="R48">
            <v>265000</v>
          </cell>
          <cell r="S48">
            <v>0</v>
          </cell>
          <cell r="T48">
            <v>0</v>
          </cell>
        </row>
        <row r="49">
          <cell r="B49">
            <v>1617000980</v>
          </cell>
          <cell r="C49" t="str">
            <v>980</v>
          </cell>
          <cell r="D49" t="str">
            <v>617000</v>
          </cell>
          <cell r="E49" t="str">
            <v>משפטיות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3000</v>
          </cell>
          <cell r="Q49">
            <v>30000</v>
          </cell>
          <cell r="R49">
            <v>36000</v>
          </cell>
          <cell r="S49">
            <v>0</v>
          </cell>
          <cell r="T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 t="str">
            <v>שירות משפטי</v>
          </cell>
          <cell r="F50" t="e">
            <v>#REF!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327000</v>
          </cell>
          <cell r="Q50">
            <v>358755.86</v>
          </cell>
          <cell r="R50">
            <v>426000</v>
          </cell>
          <cell r="S50">
            <v>0</v>
          </cell>
          <cell r="T50">
            <v>0</v>
          </cell>
        </row>
        <row r="51">
          <cell r="B51">
            <v>1619000580</v>
          </cell>
          <cell r="C51" t="str">
            <v>580</v>
          </cell>
          <cell r="D51" t="str">
            <v>619000</v>
          </cell>
          <cell r="E51" t="str">
            <v>הוצ" בחירות ברישות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 t="str">
            <v>סה"כ בחירות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B53">
            <v>1621000110</v>
          </cell>
          <cell r="C53" t="str">
            <v>110</v>
          </cell>
          <cell r="D53" t="str">
            <v>621000</v>
          </cell>
          <cell r="E53" t="str">
            <v>משכורת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683000</v>
          </cell>
          <cell r="Q53">
            <v>519009.27</v>
          </cell>
          <cell r="R53">
            <v>687000</v>
          </cell>
          <cell r="S53">
            <v>0</v>
          </cell>
          <cell r="T53">
            <v>0</v>
          </cell>
        </row>
        <row r="54">
          <cell r="B54">
            <v>1621000521</v>
          </cell>
          <cell r="C54" t="str">
            <v>521</v>
          </cell>
          <cell r="D54" t="str">
            <v>621000</v>
          </cell>
          <cell r="E54" t="str">
            <v>השתלמיות גזברות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6000</v>
          </cell>
          <cell r="Q54">
            <v>4950</v>
          </cell>
          <cell r="R54">
            <v>6000</v>
          </cell>
          <cell r="S54">
            <v>0</v>
          </cell>
          <cell r="T54">
            <v>0</v>
          </cell>
        </row>
        <row r="55">
          <cell r="B55">
            <v>1621000540</v>
          </cell>
          <cell r="C55" t="str">
            <v>540</v>
          </cell>
          <cell r="D55" t="str">
            <v>621000</v>
          </cell>
          <cell r="E55" t="str">
            <v>הוצ תקשורת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1000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B56">
            <v>1621000750</v>
          </cell>
          <cell r="C56" t="str">
            <v>750</v>
          </cell>
          <cell r="D56" t="str">
            <v>621000</v>
          </cell>
          <cell r="E56" t="str">
            <v>עבודות קבלניות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142000</v>
          </cell>
          <cell r="Q56">
            <v>93447</v>
          </cell>
          <cell r="R56">
            <v>145000</v>
          </cell>
          <cell r="S56">
            <v>0</v>
          </cell>
          <cell r="T56">
            <v>0</v>
          </cell>
        </row>
        <row r="57">
          <cell r="B57">
            <v>1621100110</v>
          </cell>
          <cell r="C57" t="str">
            <v>110</v>
          </cell>
          <cell r="D57" t="str">
            <v>621100</v>
          </cell>
          <cell r="E57" t="str">
            <v>מ.מ/ עוזר לגזבר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B58">
            <v>1621100523</v>
          </cell>
          <cell r="C58" t="str">
            <v>523</v>
          </cell>
          <cell r="D58" t="str">
            <v>621100</v>
          </cell>
          <cell r="E58" t="str">
            <v>דמי  חבר במרכז השלטון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>
            <v>1621100810</v>
          </cell>
          <cell r="C59" t="str">
            <v>810</v>
          </cell>
          <cell r="D59" t="str">
            <v>621100</v>
          </cell>
          <cell r="E59" t="str">
            <v>דמי חבר במרכז השלטון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B60">
            <v>1621130110</v>
          </cell>
          <cell r="C60" t="str">
            <v>110</v>
          </cell>
          <cell r="D60" t="str">
            <v>621130</v>
          </cell>
          <cell r="E60" t="str">
            <v>משכורת קופאית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129000</v>
          </cell>
          <cell r="Q60">
            <v>95161.8</v>
          </cell>
          <cell r="R60">
            <v>137000</v>
          </cell>
          <cell r="S60">
            <v>0</v>
          </cell>
          <cell r="T60">
            <v>0</v>
          </cell>
        </row>
        <row r="61">
          <cell r="B61">
            <v>1621300110</v>
          </cell>
          <cell r="C61" t="str">
            <v>110</v>
          </cell>
          <cell r="D61" t="str">
            <v>621300</v>
          </cell>
          <cell r="E61" t="str">
            <v>משכורת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142000</v>
          </cell>
          <cell r="Q61">
            <v>130477.56</v>
          </cell>
          <cell r="R61">
            <v>172000</v>
          </cell>
          <cell r="S61">
            <v>0</v>
          </cell>
          <cell r="T61">
            <v>0</v>
          </cell>
        </row>
        <row r="62">
          <cell r="B62">
            <v>1621300521</v>
          </cell>
          <cell r="C62" t="str">
            <v>521</v>
          </cell>
          <cell r="D62" t="str">
            <v>621300</v>
          </cell>
          <cell r="E62" t="str">
            <v>השתלמויות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4000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B63">
            <v>1621300570</v>
          </cell>
          <cell r="C63" t="str">
            <v>570</v>
          </cell>
          <cell r="D63" t="str">
            <v>621300</v>
          </cell>
          <cell r="E63" t="str">
            <v>אוטומאציה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261000</v>
          </cell>
          <cell r="Q63">
            <v>228885.87</v>
          </cell>
          <cell r="R63">
            <v>305000</v>
          </cell>
          <cell r="S63">
            <v>0</v>
          </cell>
          <cell r="T63">
            <v>0</v>
          </cell>
        </row>
        <row r="64">
          <cell r="B64">
            <v>1621500110</v>
          </cell>
          <cell r="C64" t="str">
            <v>110</v>
          </cell>
          <cell r="D64" t="str">
            <v>621500</v>
          </cell>
          <cell r="E64" t="str">
            <v>חשב שכר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100000</v>
          </cell>
          <cell r="Q64">
            <v>74893.94</v>
          </cell>
          <cell r="R64">
            <v>100000</v>
          </cell>
          <cell r="S64">
            <v>0</v>
          </cell>
          <cell r="T64">
            <v>0</v>
          </cell>
        </row>
        <row r="65">
          <cell r="B65">
            <v>1621600110</v>
          </cell>
          <cell r="C65" t="str">
            <v>110</v>
          </cell>
          <cell r="D65" t="str">
            <v>621600</v>
          </cell>
          <cell r="E65" t="str">
            <v>קניין מועצה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 t="str">
            <v>גזברות</v>
          </cell>
          <cell r="F66" t="e">
            <v>#REF!</v>
          </cell>
          <cell r="G66" t="e">
            <v>#REF!</v>
          </cell>
          <cell r="H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1468000</v>
          </cell>
          <cell r="Q66">
            <v>1146825.44</v>
          </cell>
          <cell r="R66">
            <v>1552000</v>
          </cell>
          <cell r="S66">
            <v>0</v>
          </cell>
          <cell r="T66">
            <v>0</v>
          </cell>
        </row>
        <row r="67">
          <cell r="B67">
            <v>1623000110</v>
          </cell>
          <cell r="C67" t="str">
            <v>110</v>
          </cell>
          <cell r="D67" t="str">
            <v>623000</v>
          </cell>
          <cell r="E67" t="str">
            <v>משכורת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B68">
            <v>1623000750</v>
          </cell>
          <cell r="C68" t="str">
            <v>750</v>
          </cell>
          <cell r="D68" t="str">
            <v>623000</v>
          </cell>
          <cell r="E68" t="str">
            <v>חברת גביה עמלות גביה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550000</v>
          </cell>
          <cell r="Q68">
            <v>355922.14</v>
          </cell>
          <cell r="R68">
            <v>550000</v>
          </cell>
          <cell r="S68">
            <v>0</v>
          </cell>
          <cell r="T68">
            <v>0</v>
          </cell>
        </row>
        <row r="69">
          <cell r="B69">
            <v>1623100110</v>
          </cell>
          <cell r="C69" t="str">
            <v>110</v>
          </cell>
          <cell r="D69" t="str">
            <v>623100</v>
          </cell>
          <cell r="E69" t="str">
            <v>הוצ משכורת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67000</v>
          </cell>
          <cell r="Q69">
            <v>88423.46</v>
          </cell>
          <cell r="R69">
            <v>118000</v>
          </cell>
          <cell r="S69">
            <v>0</v>
          </cell>
          <cell r="T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 t="str">
            <v>גביה</v>
          </cell>
          <cell r="F70" t="e">
            <v>#REF!</v>
          </cell>
          <cell r="G70" t="e">
            <v>#REF!</v>
          </cell>
          <cell r="H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>
            <v>617000</v>
          </cell>
          <cell r="Q70">
            <v>444345.60000000003</v>
          </cell>
          <cell r="R70">
            <v>668000</v>
          </cell>
          <cell r="S70">
            <v>0</v>
          </cell>
          <cell r="T70">
            <v>0</v>
          </cell>
        </row>
        <row r="71">
          <cell r="B71">
            <v>1631000610</v>
          </cell>
          <cell r="C71" t="str">
            <v>610</v>
          </cell>
          <cell r="D71" t="str">
            <v>631000</v>
          </cell>
          <cell r="E71" t="str">
            <v>עמלות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147000</v>
          </cell>
          <cell r="Q71">
            <v>135553.54</v>
          </cell>
          <cell r="R71">
            <v>163000</v>
          </cell>
          <cell r="S71">
            <v>0</v>
          </cell>
          <cell r="T71">
            <v>0</v>
          </cell>
        </row>
        <row r="72">
          <cell r="B72">
            <v>1632000620</v>
          </cell>
          <cell r="C72" t="str">
            <v>620</v>
          </cell>
          <cell r="D72" t="str">
            <v>632000</v>
          </cell>
          <cell r="E72" t="str">
            <v>ריבית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3000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 t="str">
            <v xml:space="preserve"> עמלות </v>
          </cell>
          <cell r="F73" t="e">
            <v>#REF!</v>
          </cell>
          <cell r="G73" t="e">
            <v>#REF!</v>
          </cell>
          <cell r="H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>
            <v>150000</v>
          </cell>
          <cell r="Q73">
            <v>135553.54</v>
          </cell>
          <cell r="R73">
            <v>163000</v>
          </cell>
          <cell r="S73">
            <v>0</v>
          </cell>
          <cell r="T73" t="e">
            <v>#REF!</v>
          </cell>
        </row>
        <row r="74">
          <cell r="B74">
            <v>1649100691</v>
          </cell>
          <cell r="C74" t="str">
            <v>691</v>
          </cell>
          <cell r="D74" t="str">
            <v>649100</v>
          </cell>
          <cell r="E74" t="str">
            <v>קרן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276000</v>
          </cell>
          <cell r="Q74">
            <v>207347.14</v>
          </cell>
          <cell r="R74">
            <v>276000</v>
          </cell>
          <cell r="S74">
            <v>0</v>
          </cell>
          <cell r="T74">
            <v>0</v>
          </cell>
        </row>
        <row r="75">
          <cell r="B75">
            <v>1649100692</v>
          </cell>
          <cell r="C75" t="str">
            <v>692</v>
          </cell>
          <cell r="D75" t="str">
            <v>649100</v>
          </cell>
          <cell r="E75" t="str">
            <v>רבית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80000</v>
          </cell>
          <cell r="Q75">
            <v>48605.18</v>
          </cell>
          <cell r="R75">
            <v>80000</v>
          </cell>
          <cell r="S75">
            <v>0</v>
          </cell>
          <cell r="T75">
            <v>0</v>
          </cell>
        </row>
        <row r="76">
          <cell r="B76">
            <v>1649100693</v>
          </cell>
          <cell r="C76" t="str">
            <v>693</v>
          </cell>
          <cell r="D76" t="str">
            <v>649100</v>
          </cell>
          <cell r="E76" t="str">
            <v>הצמדה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32000</v>
          </cell>
          <cell r="Q76">
            <v>24062.61</v>
          </cell>
          <cell r="R76">
            <v>32000</v>
          </cell>
          <cell r="S76">
            <v>0</v>
          </cell>
          <cell r="T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 t="str">
            <v>פירעון מלוות אחרות</v>
          </cell>
          <cell r="F77" t="e">
            <v>#REF!</v>
          </cell>
          <cell r="G77" t="e">
            <v>#REF!</v>
          </cell>
          <cell r="H77" t="e">
            <v>#REF!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 t="e">
            <v>#REF!</v>
          </cell>
          <cell r="P77">
            <v>388000</v>
          </cell>
          <cell r="Q77">
            <v>280014.93</v>
          </cell>
          <cell r="R77">
            <v>388000</v>
          </cell>
          <cell r="S77">
            <v>0</v>
          </cell>
          <cell r="T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 t="str">
            <v>סה"כ הנהלה וכלליות</v>
          </cell>
          <cell r="F78" t="e">
            <v>#REF!</v>
          </cell>
          <cell r="G78" t="e">
            <v>#REF!</v>
          </cell>
          <cell r="H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 t="e">
            <v>#REF!</v>
          </cell>
          <cell r="P78">
            <v>7224000</v>
          </cell>
          <cell r="Q78">
            <v>6078833.0300000003</v>
          </cell>
          <cell r="R78">
            <v>7967000</v>
          </cell>
          <cell r="S78">
            <v>0</v>
          </cell>
          <cell r="T78">
            <v>0</v>
          </cell>
        </row>
        <row r="79">
          <cell r="B79">
            <v>0</v>
          </cell>
          <cell r="C79" t="str">
            <v>שירותים מקומיים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B80">
            <v>1711000540</v>
          </cell>
          <cell r="C80" t="str">
            <v>540</v>
          </cell>
          <cell r="D80" t="str">
            <v>711000</v>
          </cell>
          <cell r="E80" t="str">
            <v>הות" תקשורת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B81">
            <v>1712200110</v>
          </cell>
          <cell r="C81" t="str">
            <v>110</v>
          </cell>
          <cell r="D81" t="str">
            <v>712200</v>
          </cell>
          <cell r="E81" t="str">
            <v>משכורת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18437.669999999998</v>
          </cell>
          <cell r="R81">
            <v>40000</v>
          </cell>
          <cell r="S81">
            <v>0</v>
          </cell>
          <cell r="T81">
            <v>0</v>
          </cell>
        </row>
        <row r="82">
          <cell r="B82">
            <v>1712200750</v>
          </cell>
          <cell r="C82" t="str">
            <v>750</v>
          </cell>
          <cell r="D82" t="str">
            <v>712200</v>
          </cell>
          <cell r="E82" t="str">
            <v>עבודות קבלניות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>
            <v>1712220750</v>
          </cell>
          <cell r="C83" t="str">
            <v>750</v>
          </cell>
          <cell r="D83" t="str">
            <v>712220</v>
          </cell>
          <cell r="E83" t="str">
            <v>ימי רענון והשלמויות תברואה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1000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B84">
            <v>1712300750</v>
          </cell>
          <cell r="C84" t="str">
            <v>750</v>
          </cell>
          <cell r="D84" t="str">
            <v>712300</v>
          </cell>
          <cell r="E84" t="str">
            <v>עבודות קבלניות-פינוי אשפה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3075000</v>
          </cell>
          <cell r="Q84">
            <v>2336708</v>
          </cell>
          <cell r="R84">
            <v>3115000</v>
          </cell>
          <cell r="S84">
            <v>0</v>
          </cell>
          <cell r="T84">
            <v>0</v>
          </cell>
        </row>
        <row r="85">
          <cell r="B85">
            <v>1712300932</v>
          </cell>
          <cell r="C85" t="str">
            <v>932</v>
          </cell>
          <cell r="D85" t="str">
            <v>712300</v>
          </cell>
          <cell r="E85" t="str">
            <v>פחי אשפה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4000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B86">
            <v>1713000110</v>
          </cell>
          <cell r="C86" t="str">
            <v>110</v>
          </cell>
          <cell r="D86" t="str">
            <v>713000</v>
          </cell>
          <cell r="E86" t="str">
            <v>משכורות כוללות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119000</v>
          </cell>
          <cell r="Q86">
            <v>95474.29</v>
          </cell>
          <cell r="R86">
            <v>127000</v>
          </cell>
          <cell r="S86">
            <v>0</v>
          </cell>
          <cell r="T86">
            <v>0</v>
          </cell>
        </row>
        <row r="87">
          <cell r="B87">
            <v>1713100830</v>
          </cell>
          <cell r="C87" t="str">
            <v>830</v>
          </cell>
          <cell r="D87" t="str">
            <v>713100</v>
          </cell>
          <cell r="E87" t="str">
            <v>איגוד ערים-איכות הסביבה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40000</v>
          </cell>
          <cell r="Q87">
            <v>22144</v>
          </cell>
          <cell r="R87">
            <v>40000</v>
          </cell>
          <cell r="S87">
            <v>0</v>
          </cell>
          <cell r="T87">
            <v>0</v>
          </cell>
        </row>
        <row r="88">
          <cell r="B88">
            <v>1714200830</v>
          </cell>
          <cell r="C88" t="str">
            <v>830</v>
          </cell>
          <cell r="D88" t="str">
            <v>714200</v>
          </cell>
          <cell r="E88" t="str">
            <v>א ע שמרון מטבחיים השת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80000</v>
          </cell>
          <cell r="Q88">
            <v>100968.5</v>
          </cell>
          <cell r="R88">
            <v>80000</v>
          </cell>
          <cell r="S88">
            <v>0</v>
          </cell>
          <cell r="T88">
            <v>0</v>
          </cell>
        </row>
        <row r="89">
          <cell r="B89">
            <v>1715000720</v>
          </cell>
          <cell r="C89" t="str">
            <v>720</v>
          </cell>
          <cell r="D89" t="str">
            <v>715000</v>
          </cell>
          <cell r="E89" t="str">
            <v>חומרי הדברה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5000</v>
          </cell>
          <cell r="Q89">
            <v>3907.8</v>
          </cell>
          <cell r="R89">
            <v>5000</v>
          </cell>
          <cell r="S89">
            <v>0</v>
          </cell>
          <cell r="T89">
            <v>0</v>
          </cell>
        </row>
        <row r="90">
          <cell r="B90">
            <v>1715000840</v>
          </cell>
          <cell r="C90" t="str">
            <v>840</v>
          </cell>
          <cell r="D90" t="str">
            <v>715000</v>
          </cell>
          <cell r="E90" t="str">
            <v>כבוי חדרה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94000</v>
          </cell>
          <cell r="Q90">
            <v>0</v>
          </cell>
          <cell r="R90">
            <v>94000</v>
          </cell>
          <cell r="S90">
            <v>0</v>
          </cell>
          <cell r="T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 t="str">
            <v>תברואה</v>
          </cell>
          <cell r="F91" t="e">
            <v>#REF!</v>
          </cell>
          <cell r="G91" t="e">
            <v>#REF!</v>
          </cell>
          <cell r="H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>
            <v>3418000</v>
          </cell>
          <cell r="Q91">
            <v>2577640.2599999998</v>
          </cell>
          <cell r="R91">
            <v>3501000</v>
          </cell>
          <cell r="S91">
            <v>0</v>
          </cell>
          <cell r="T91">
            <v>0</v>
          </cell>
        </row>
        <row r="92">
          <cell r="B92">
            <v>1722000930</v>
          </cell>
          <cell r="C92" t="str">
            <v>930</v>
          </cell>
          <cell r="D92" t="str">
            <v>722000</v>
          </cell>
          <cell r="E92" t="str">
            <v>שמירה בטחונית ציוד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11000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B93">
            <v>1724000591</v>
          </cell>
          <cell r="C93" t="str">
            <v>591</v>
          </cell>
          <cell r="D93" t="str">
            <v>724000</v>
          </cell>
          <cell r="E93" t="str">
            <v>הג"א השתתפיות ותרומות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36000</v>
          </cell>
          <cell r="S93">
            <v>0</v>
          </cell>
          <cell r="T93">
            <v>0</v>
          </cell>
        </row>
        <row r="94">
          <cell r="B94">
            <v>1724000810</v>
          </cell>
          <cell r="C94" t="str">
            <v>810</v>
          </cell>
          <cell r="D94" t="str">
            <v>724000</v>
          </cell>
          <cell r="E94" t="str">
            <v>הג"א השתתפיות ותרומות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107000</v>
          </cell>
          <cell r="Q94">
            <v>164500.5</v>
          </cell>
          <cell r="R94">
            <v>128000</v>
          </cell>
          <cell r="S94">
            <v>0</v>
          </cell>
          <cell r="T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 t="str">
            <v>שמירה ובטחון</v>
          </cell>
          <cell r="F95" t="e">
            <v>#REF!</v>
          </cell>
          <cell r="G95" t="e">
            <v>#REF!</v>
          </cell>
          <cell r="H95" t="e">
            <v>#REF!</v>
          </cell>
          <cell r="I95" t="e">
            <v>#REF!</v>
          </cell>
          <cell r="J95" t="e">
            <v>#REF!</v>
          </cell>
          <cell r="K95" t="e">
            <v>#REF!</v>
          </cell>
          <cell r="L95" t="e">
            <v>#REF!</v>
          </cell>
          <cell r="M95" t="e">
            <v>#REF!</v>
          </cell>
          <cell r="N95" t="e">
            <v>#REF!</v>
          </cell>
          <cell r="O95" t="e">
            <v>#REF!</v>
          </cell>
          <cell r="P95">
            <v>118000</v>
          </cell>
          <cell r="Q95">
            <v>164500.5</v>
          </cell>
          <cell r="R95">
            <v>164000</v>
          </cell>
          <cell r="S95">
            <v>0</v>
          </cell>
          <cell r="T95" t="e">
            <v>#REF!</v>
          </cell>
        </row>
        <row r="96">
          <cell r="B96">
            <v>1731000110</v>
          </cell>
          <cell r="C96" t="str">
            <v>110</v>
          </cell>
          <cell r="D96" t="str">
            <v>731000</v>
          </cell>
          <cell r="E96" t="str">
            <v>משכורת מהנדס המועצה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463000</v>
          </cell>
          <cell r="Q96">
            <v>208000</v>
          </cell>
          <cell r="R96">
            <v>250000</v>
          </cell>
          <cell r="S96">
            <v>0</v>
          </cell>
          <cell r="T96">
            <v>0</v>
          </cell>
        </row>
        <row r="97">
          <cell r="B97">
            <v>1731000540</v>
          </cell>
          <cell r="C97" t="str">
            <v>540</v>
          </cell>
          <cell r="D97" t="str">
            <v>731000</v>
          </cell>
          <cell r="E97" t="str">
            <v>הוצ" תקשורת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3000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B98">
            <v>1731000750</v>
          </cell>
          <cell r="C98" t="str">
            <v>750</v>
          </cell>
          <cell r="D98" t="str">
            <v>731000</v>
          </cell>
          <cell r="E98" t="str">
            <v>עבודות קבלניות _תכנו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8000</v>
          </cell>
          <cell r="Q98">
            <v>2925</v>
          </cell>
          <cell r="R98">
            <v>4000</v>
          </cell>
          <cell r="S98">
            <v>0</v>
          </cell>
          <cell r="T98">
            <v>0</v>
          </cell>
        </row>
        <row r="99">
          <cell r="B99">
            <v>1732000110</v>
          </cell>
          <cell r="C99" t="str">
            <v>110</v>
          </cell>
          <cell r="D99" t="str">
            <v>732000</v>
          </cell>
          <cell r="E99" t="str">
            <v>מזכירות מחלקת הנדסה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B100">
            <v>1732000540</v>
          </cell>
          <cell r="C100" t="str">
            <v>540</v>
          </cell>
          <cell r="D100" t="str">
            <v>732000</v>
          </cell>
          <cell r="E100" t="str">
            <v>פלפון מהנדס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B101">
            <v>1732000950</v>
          </cell>
          <cell r="C101" t="str">
            <v>950</v>
          </cell>
          <cell r="D101" t="str">
            <v>732000</v>
          </cell>
          <cell r="E101" t="str">
            <v>צילומים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67000</v>
          </cell>
          <cell r="Q101">
            <v>772.2</v>
          </cell>
          <cell r="R101">
            <v>67000</v>
          </cell>
          <cell r="S101">
            <v>0</v>
          </cell>
          <cell r="T101">
            <v>0</v>
          </cell>
        </row>
        <row r="102">
          <cell r="B102">
            <v>1732300750</v>
          </cell>
          <cell r="C102" t="str">
            <v>750</v>
          </cell>
          <cell r="D102" t="str">
            <v>732300</v>
          </cell>
          <cell r="E102" t="str">
            <v>מדידות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29000</v>
          </cell>
          <cell r="Q102">
            <v>48.48</v>
          </cell>
          <cell r="R102">
            <v>29000</v>
          </cell>
          <cell r="S102">
            <v>0</v>
          </cell>
          <cell r="T102">
            <v>0</v>
          </cell>
        </row>
        <row r="103">
          <cell r="B103">
            <v>1732400750</v>
          </cell>
          <cell r="C103" t="str">
            <v>750</v>
          </cell>
          <cell r="D103" t="str">
            <v>732400</v>
          </cell>
          <cell r="E103" t="str">
            <v>השתתפות בתכנון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 t="str">
            <v>מחלקת הנדסה</v>
          </cell>
          <cell r="F104" t="e">
            <v>#REF!</v>
          </cell>
          <cell r="G104" t="e">
            <v>#REF!</v>
          </cell>
          <cell r="H104" t="e">
            <v>#REF!</v>
          </cell>
          <cell r="I104" t="e">
            <v>#REF!</v>
          </cell>
          <cell r="J104" t="e">
            <v>#REF!</v>
          </cell>
          <cell r="K104" t="e">
            <v>#REF!</v>
          </cell>
          <cell r="L104" t="e">
            <v>#REF!</v>
          </cell>
          <cell r="M104" t="e">
            <v>#REF!</v>
          </cell>
          <cell r="N104" t="e">
            <v>#REF!</v>
          </cell>
          <cell r="O104" t="e">
            <v>#REF!</v>
          </cell>
          <cell r="P104">
            <v>570000</v>
          </cell>
          <cell r="Q104">
            <v>211745.68000000002</v>
          </cell>
          <cell r="R104">
            <v>350000</v>
          </cell>
          <cell r="S104">
            <v>0</v>
          </cell>
          <cell r="T104">
            <v>0</v>
          </cell>
        </row>
        <row r="105">
          <cell r="B105">
            <v>1742100592</v>
          </cell>
          <cell r="C105" t="str">
            <v>592</v>
          </cell>
          <cell r="D105" t="str">
            <v>742100</v>
          </cell>
          <cell r="E105" t="str">
            <v>רשות הניקוז השתתפות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B106">
            <v>1742100750</v>
          </cell>
          <cell r="C106" t="str">
            <v>750</v>
          </cell>
          <cell r="D106" t="str">
            <v>742100</v>
          </cell>
          <cell r="E106" t="str">
            <v>אחזקת כבישים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100000</v>
          </cell>
          <cell r="Q106">
            <v>81841</v>
          </cell>
          <cell r="R106">
            <v>100000</v>
          </cell>
          <cell r="S106">
            <v>0</v>
          </cell>
          <cell r="T106">
            <v>0</v>
          </cell>
        </row>
        <row r="107">
          <cell r="B107">
            <v>1742100810</v>
          </cell>
          <cell r="C107" t="str">
            <v>810</v>
          </cell>
          <cell r="D107" t="str">
            <v>742100</v>
          </cell>
          <cell r="E107" t="str">
            <v>רשות הניקוז השתתפות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53000</v>
          </cell>
          <cell r="Q107">
            <v>85000</v>
          </cell>
          <cell r="R107">
            <v>85000</v>
          </cell>
          <cell r="S107">
            <v>0</v>
          </cell>
          <cell r="T107">
            <v>0</v>
          </cell>
        </row>
        <row r="108">
          <cell r="B108">
            <v>1742100930</v>
          </cell>
          <cell r="C108" t="str">
            <v>930</v>
          </cell>
          <cell r="D108" t="str">
            <v>742100</v>
          </cell>
          <cell r="E108" t="str">
            <v>ציוד יסודי כבישים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5000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B109">
            <v>1743000110</v>
          </cell>
          <cell r="C109" t="str">
            <v>110</v>
          </cell>
          <cell r="D109" t="str">
            <v>743000</v>
          </cell>
          <cell r="E109" t="str">
            <v>משכורת חשמלאי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B110">
            <v>1743000431</v>
          </cell>
          <cell r="C110" t="str">
            <v>431</v>
          </cell>
          <cell r="D110" t="str">
            <v>743000</v>
          </cell>
          <cell r="E110" t="str">
            <v>חשמל רחובות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251000</v>
          </cell>
          <cell r="Q110">
            <v>163058.23999999999</v>
          </cell>
          <cell r="R110">
            <v>230000</v>
          </cell>
          <cell r="S110">
            <v>0</v>
          </cell>
          <cell r="T110">
            <v>0</v>
          </cell>
        </row>
        <row r="111">
          <cell r="B111">
            <v>1743000540</v>
          </cell>
          <cell r="C111" t="str">
            <v>540</v>
          </cell>
          <cell r="D111" t="str">
            <v>743000</v>
          </cell>
          <cell r="E111" t="str">
            <v>הוצ תקשורת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B112">
            <v>1743000750</v>
          </cell>
          <cell r="C112" t="str">
            <v>750</v>
          </cell>
          <cell r="D112" t="str">
            <v>743000</v>
          </cell>
          <cell r="E112" t="str">
            <v>עבודות קבלניות- חשמל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177000</v>
          </cell>
          <cell r="Q112">
            <v>101148.65</v>
          </cell>
          <cell r="R112">
            <v>177000</v>
          </cell>
          <cell r="S112">
            <v>0</v>
          </cell>
          <cell r="T112">
            <v>0</v>
          </cell>
        </row>
        <row r="113">
          <cell r="B113">
            <v>1744000581</v>
          </cell>
          <cell r="C113" t="str">
            <v>581</v>
          </cell>
          <cell r="D113" t="str">
            <v>744000</v>
          </cell>
          <cell r="E113" t="str">
            <v>בטיחות בדרכים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B114">
            <v>1744000810</v>
          </cell>
          <cell r="C114" t="str">
            <v>810</v>
          </cell>
          <cell r="D114" t="str">
            <v>744000</v>
          </cell>
          <cell r="E114" t="str">
            <v>בטיחות בדרכים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100000</v>
          </cell>
          <cell r="Q114">
            <v>38600</v>
          </cell>
          <cell r="R114">
            <v>50000</v>
          </cell>
          <cell r="S114">
            <v>0</v>
          </cell>
          <cell r="T114">
            <v>0</v>
          </cell>
        </row>
        <row r="115">
          <cell r="B115">
            <v>1746000422</v>
          </cell>
          <cell r="C115" t="str">
            <v>422</v>
          </cell>
          <cell r="D115" t="str">
            <v>746000</v>
          </cell>
          <cell r="E115" t="str">
            <v>גינון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27378</v>
          </cell>
          <cell r="R115">
            <v>35000</v>
          </cell>
          <cell r="S115">
            <v>0</v>
          </cell>
          <cell r="T115">
            <v>0</v>
          </cell>
        </row>
        <row r="116">
          <cell r="B116">
            <v>1746000432</v>
          </cell>
          <cell r="C116" t="str">
            <v>432</v>
          </cell>
          <cell r="D116" t="str">
            <v>746000</v>
          </cell>
          <cell r="E116" t="str">
            <v>הוצ מים לגינון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10000</v>
          </cell>
          <cell r="Q116">
            <v>0</v>
          </cell>
          <cell r="R116">
            <v>10000</v>
          </cell>
          <cell r="S116">
            <v>0</v>
          </cell>
          <cell r="T116">
            <v>0</v>
          </cell>
        </row>
        <row r="117">
          <cell r="B117">
            <v>1746000740</v>
          </cell>
          <cell r="C117" t="str">
            <v>740</v>
          </cell>
          <cell r="D117" t="str">
            <v>746000</v>
          </cell>
          <cell r="E117" t="str">
            <v>ציוד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5000</v>
          </cell>
          <cell r="Q117">
            <v>0</v>
          </cell>
          <cell r="R117">
            <v>5000</v>
          </cell>
          <cell r="S117">
            <v>0</v>
          </cell>
          <cell r="T117">
            <v>0</v>
          </cell>
        </row>
        <row r="118">
          <cell r="B118">
            <v>1746000810</v>
          </cell>
          <cell r="C118" t="str">
            <v>810</v>
          </cell>
          <cell r="D118" t="str">
            <v>746000</v>
          </cell>
          <cell r="E118" t="str">
            <v>גנון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164000</v>
          </cell>
          <cell r="Q118">
            <v>4001.4</v>
          </cell>
          <cell r="R118">
            <v>150000</v>
          </cell>
          <cell r="S118">
            <v>0</v>
          </cell>
          <cell r="T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 t="str">
            <v>דרכים ומדרכות</v>
          </cell>
          <cell r="F119" t="e">
            <v>#REF!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>
            <v>865000</v>
          </cell>
          <cell r="Q119">
            <v>501027.29000000004</v>
          </cell>
          <cell r="R119">
            <v>842000</v>
          </cell>
          <cell r="S119">
            <v>0</v>
          </cell>
          <cell r="T119">
            <v>0</v>
          </cell>
        </row>
        <row r="120">
          <cell r="B120">
            <v>1761000110</v>
          </cell>
          <cell r="C120" t="str">
            <v>110</v>
          </cell>
          <cell r="D120" t="str">
            <v>761000</v>
          </cell>
          <cell r="E120" t="str">
            <v>מנהל מדור חרום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238000</v>
          </cell>
          <cell r="Q120">
            <v>178158</v>
          </cell>
          <cell r="R120">
            <v>238000</v>
          </cell>
          <cell r="S120">
            <v>0</v>
          </cell>
          <cell r="T120">
            <v>0</v>
          </cell>
        </row>
        <row r="121">
          <cell r="B121">
            <v>1761000422</v>
          </cell>
          <cell r="C121" t="str">
            <v>422</v>
          </cell>
          <cell r="D121" t="str">
            <v>761000</v>
          </cell>
          <cell r="E121" t="str">
            <v>מדור חירום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B122">
            <v>1761000431</v>
          </cell>
          <cell r="C122" t="str">
            <v>431</v>
          </cell>
          <cell r="D122" t="str">
            <v>761000</v>
          </cell>
          <cell r="E122" t="str">
            <v>חשמל מחסן מל"ח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B123">
            <v>1761000521</v>
          </cell>
          <cell r="C123" t="str">
            <v>521</v>
          </cell>
          <cell r="D123" t="str">
            <v>761000</v>
          </cell>
          <cell r="E123" t="str">
            <v>השתלמותוהצ" קבטי"ם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2000</v>
          </cell>
          <cell r="Q123">
            <v>835</v>
          </cell>
          <cell r="R123">
            <v>2000</v>
          </cell>
          <cell r="S123">
            <v>0</v>
          </cell>
          <cell r="T123">
            <v>0</v>
          </cell>
        </row>
        <row r="124">
          <cell r="B124">
            <v>1761000540</v>
          </cell>
          <cell r="C124" t="str">
            <v>540</v>
          </cell>
          <cell r="D124" t="str">
            <v>761000</v>
          </cell>
          <cell r="E124" t="str">
            <v>הוצ" תקשורת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2000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B125">
            <v>1761000810</v>
          </cell>
          <cell r="C125" t="str">
            <v>810</v>
          </cell>
          <cell r="D125" t="str">
            <v>761000</v>
          </cell>
          <cell r="E125" t="str">
            <v>מדור חירום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35000</v>
          </cell>
          <cell r="Q125">
            <v>16100</v>
          </cell>
          <cell r="R125">
            <v>35000</v>
          </cell>
          <cell r="S125">
            <v>0</v>
          </cell>
          <cell r="T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 t="str">
            <v xml:space="preserve">שירותים מקומיים שונים </v>
          </cell>
          <cell r="F126" t="e">
            <v>#REF!</v>
          </cell>
          <cell r="G126" t="e">
            <v>#REF!</v>
          </cell>
          <cell r="H126" t="e">
            <v>#REF!</v>
          </cell>
          <cell r="I126" t="e">
            <v>#REF!</v>
          </cell>
          <cell r="J126" t="e">
            <v>#REF!</v>
          </cell>
          <cell r="K126" t="e">
            <v>#REF!</v>
          </cell>
          <cell r="L126" t="e">
            <v>#REF!</v>
          </cell>
          <cell r="M126" t="e">
            <v>#REF!</v>
          </cell>
          <cell r="N126" t="e">
            <v>#REF!</v>
          </cell>
          <cell r="O126" t="e">
            <v>#REF!</v>
          </cell>
          <cell r="P126">
            <v>277000</v>
          </cell>
          <cell r="Q126">
            <v>195093</v>
          </cell>
          <cell r="R126">
            <v>275000</v>
          </cell>
          <cell r="S126">
            <v>0</v>
          </cell>
          <cell r="T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 t="str">
            <v>סה"כ שירותים מקומיים</v>
          </cell>
          <cell r="F127" t="e">
            <v>#REF!</v>
          </cell>
          <cell r="G127" t="e">
            <v>#REF!</v>
          </cell>
          <cell r="H127" t="e">
            <v>#REF!</v>
          </cell>
          <cell r="I127" t="e">
            <v>#REF!</v>
          </cell>
          <cell r="J127" t="e">
            <v>#REF!</v>
          </cell>
          <cell r="K127" t="e">
            <v>#REF!</v>
          </cell>
          <cell r="L127" t="e">
            <v>#REF!</v>
          </cell>
          <cell r="M127" t="e">
            <v>#REF!</v>
          </cell>
          <cell r="N127" t="e">
            <v>#REF!</v>
          </cell>
          <cell r="O127" t="e">
            <v>#REF!</v>
          </cell>
          <cell r="P127">
            <v>5248000</v>
          </cell>
          <cell r="Q127">
            <v>3650006.73</v>
          </cell>
          <cell r="R127">
            <v>5132000</v>
          </cell>
          <cell r="S127">
            <v>0</v>
          </cell>
          <cell r="T127">
            <v>0</v>
          </cell>
        </row>
        <row r="128">
          <cell r="B128">
            <v>0</v>
          </cell>
          <cell r="C128" t="str">
            <v>מחלקת חינוך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B129">
            <v>1811000110</v>
          </cell>
          <cell r="C129" t="str">
            <v>110</v>
          </cell>
          <cell r="D129" t="str">
            <v>811000</v>
          </cell>
          <cell r="E129" t="str">
            <v>משכורת ושכ"ע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494000</v>
          </cell>
          <cell r="Q129">
            <v>405652.44</v>
          </cell>
          <cell r="R129">
            <v>570000</v>
          </cell>
          <cell r="S129">
            <v>0</v>
          </cell>
          <cell r="T129">
            <v>0</v>
          </cell>
        </row>
        <row r="130">
          <cell r="B130">
            <v>1811000521</v>
          </cell>
          <cell r="C130" t="str">
            <v>521</v>
          </cell>
          <cell r="D130" t="str">
            <v>811000</v>
          </cell>
          <cell r="E130" t="str">
            <v>השתלמויות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3000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B131">
            <v>1811000540</v>
          </cell>
          <cell r="C131" t="str">
            <v>540</v>
          </cell>
          <cell r="D131" t="str">
            <v>811000</v>
          </cell>
          <cell r="E131" t="str">
            <v>הוצ" תקשורת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B132">
            <v>1811000560</v>
          </cell>
          <cell r="C132" t="str">
            <v>560</v>
          </cell>
          <cell r="D132" t="str">
            <v>811000</v>
          </cell>
          <cell r="E132" t="str">
            <v>מחלקת חינוך הנהלה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B133">
            <v>1811000810</v>
          </cell>
          <cell r="C133" t="str">
            <v>810</v>
          </cell>
          <cell r="D133" t="str">
            <v>811000</v>
          </cell>
          <cell r="E133" t="str">
            <v>מחלקת חינוך הנהלה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B134">
            <v>1811200580</v>
          </cell>
          <cell r="C134" t="str">
            <v>580</v>
          </cell>
          <cell r="D134" t="str">
            <v>811200</v>
          </cell>
          <cell r="E134" t="str">
            <v>הפעלת תוכנית קיץ במוסדות חנוך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B135">
            <v>1811200810</v>
          </cell>
          <cell r="C135" t="str">
            <v>810</v>
          </cell>
          <cell r="D135" t="str">
            <v>811200</v>
          </cell>
          <cell r="E135" t="str">
            <v>הפעלת תוכנית קיץ במוסדות חנוך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550000</v>
          </cell>
          <cell r="Q135">
            <v>399718</v>
          </cell>
          <cell r="R135">
            <v>400000</v>
          </cell>
          <cell r="S135">
            <v>0</v>
          </cell>
          <cell r="T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 t="str">
            <v>מינהל חינוך</v>
          </cell>
          <cell r="F136" t="e">
            <v>#REF!</v>
          </cell>
          <cell r="G136" t="e">
            <v>#REF!</v>
          </cell>
          <cell r="H136" t="e">
            <v>#REF!</v>
          </cell>
          <cell r="I136" t="e">
            <v>#REF!</v>
          </cell>
          <cell r="J136" t="e">
            <v>#REF!</v>
          </cell>
          <cell r="K136" t="e">
            <v>#REF!</v>
          </cell>
          <cell r="L136" t="e">
            <v>#REF!</v>
          </cell>
          <cell r="M136" t="e">
            <v>#REF!</v>
          </cell>
          <cell r="N136" t="e">
            <v>#REF!</v>
          </cell>
          <cell r="O136" t="e">
            <v>#REF!</v>
          </cell>
          <cell r="P136">
            <v>1047000</v>
          </cell>
          <cell r="Q136">
            <v>805370.44</v>
          </cell>
          <cell r="R136">
            <v>970000</v>
          </cell>
          <cell r="S136">
            <v>0</v>
          </cell>
          <cell r="T136">
            <v>0</v>
          </cell>
        </row>
        <row r="137">
          <cell r="B137">
            <v>1812000560</v>
          </cell>
          <cell r="C137" t="str">
            <v>560</v>
          </cell>
          <cell r="D137" t="str">
            <v>812000</v>
          </cell>
          <cell r="E137" t="str">
            <v>צילומים והדפסות גנים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44000</v>
          </cell>
          <cell r="Q137">
            <v>6971</v>
          </cell>
          <cell r="R137">
            <v>9000</v>
          </cell>
          <cell r="S137">
            <v>0</v>
          </cell>
          <cell r="T137">
            <v>0</v>
          </cell>
        </row>
        <row r="138">
          <cell r="B138">
            <v>1812200110</v>
          </cell>
          <cell r="C138" t="str">
            <v>110</v>
          </cell>
          <cell r="D138" t="str">
            <v>812200</v>
          </cell>
          <cell r="E138" t="str">
            <v>משכורת ושכ"ע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3668000</v>
          </cell>
          <cell r="Q138">
            <v>2842845.45</v>
          </cell>
          <cell r="R138">
            <v>3910000</v>
          </cell>
          <cell r="S138">
            <v>0</v>
          </cell>
          <cell r="T138">
            <v>0</v>
          </cell>
        </row>
        <row r="139">
          <cell r="B139">
            <v>1812200410</v>
          </cell>
          <cell r="C139" t="str">
            <v>410</v>
          </cell>
          <cell r="D139" t="str">
            <v>812200</v>
          </cell>
          <cell r="E139" t="str">
            <v>שכר דירה  גנים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16000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B140">
            <v>1812200431</v>
          </cell>
          <cell r="C140" t="str">
            <v>431</v>
          </cell>
          <cell r="D140" t="str">
            <v>812200</v>
          </cell>
          <cell r="E140" t="str">
            <v>חשמל גנים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119000</v>
          </cell>
          <cell r="Q140">
            <v>84853.04</v>
          </cell>
          <cell r="R140">
            <v>119000</v>
          </cell>
          <cell r="S140">
            <v>0</v>
          </cell>
          <cell r="T140">
            <v>0</v>
          </cell>
        </row>
        <row r="141">
          <cell r="B141">
            <v>1812200450</v>
          </cell>
          <cell r="C141" t="str">
            <v>450</v>
          </cell>
          <cell r="D141" t="str">
            <v>812200</v>
          </cell>
          <cell r="E141" t="str">
            <v>הוצ" ריהוט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B142">
            <v>1812200650</v>
          </cell>
          <cell r="C142" t="str">
            <v>650</v>
          </cell>
          <cell r="D142" t="str">
            <v>812200</v>
          </cell>
          <cell r="E142" t="str">
            <v>קייטנת קיץ2017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72409</v>
          </cell>
          <cell r="R142">
            <v>73000</v>
          </cell>
          <cell r="S142">
            <v>0</v>
          </cell>
          <cell r="T142">
            <v>0</v>
          </cell>
        </row>
        <row r="143">
          <cell r="B143">
            <v>1812200720</v>
          </cell>
          <cell r="C143" t="str">
            <v>720</v>
          </cell>
          <cell r="D143" t="str">
            <v>812200</v>
          </cell>
          <cell r="E143" t="str">
            <v>חומרים_-גנים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15000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B144">
            <v>1812200740</v>
          </cell>
          <cell r="C144" t="str">
            <v>740</v>
          </cell>
          <cell r="D144" t="str">
            <v>812200</v>
          </cell>
          <cell r="E144" t="str">
            <v>משחקים וציוד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128000</v>
          </cell>
          <cell r="Q144">
            <v>16289</v>
          </cell>
          <cell r="R144">
            <v>20000</v>
          </cell>
          <cell r="S144">
            <v>0</v>
          </cell>
          <cell r="T144">
            <v>0</v>
          </cell>
        </row>
        <row r="145">
          <cell r="B145">
            <v>1812200750</v>
          </cell>
          <cell r="C145" t="str">
            <v>750</v>
          </cell>
          <cell r="D145" t="str">
            <v>812200</v>
          </cell>
          <cell r="E145" t="str">
            <v>עב" קבלניות+חומרים גנים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80000</v>
          </cell>
          <cell r="Q145">
            <v>16244.37</v>
          </cell>
          <cell r="R145">
            <v>20000</v>
          </cell>
          <cell r="S145">
            <v>0</v>
          </cell>
          <cell r="T145">
            <v>0</v>
          </cell>
        </row>
        <row r="146">
          <cell r="B146">
            <v>1812200810</v>
          </cell>
          <cell r="C146" t="str">
            <v>810</v>
          </cell>
          <cell r="D146" t="str">
            <v>812200</v>
          </cell>
          <cell r="E146" t="str">
            <v>גננות עובדות מדינה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1885000</v>
          </cell>
          <cell r="Q146">
            <v>1795000</v>
          </cell>
          <cell r="R146">
            <v>2154000</v>
          </cell>
          <cell r="S146">
            <v>0</v>
          </cell>
          <cell r="T146">
            <v>0</v>
          </cell>
        </row>
        <row r="147">
          <cell r="B147">
            <v>1812210810</v>
          </cell>
          <cell r="C147" t="str">
            <v>810</v>
          </cell>
          <cell r="D147" t="str">
            <v>812210</v>
          </cell>
          <cell r="E147" t="str">
            <v>תכנית ניצנים - גנ"י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910000</v>
          </cell>
          <cell r="R147">
            <v>1320000</v>
          </cell>
          <cell r="S147">
            <v>0</v>
          </cell>
          <cell r="T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 t="str">
            <v>חינוך קדם יסודי</v>
          </cell>
          <cell r="F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>
            <v>5955000</v>
          </cell>
          <cell r="Q148">
            <v>5744611.8600000003</v>
          </cell>
          <cell r="R148">
            <v>7625000</v>
          </cell>
          <cell r="S148">
            <v>0</v>
          </cell>
          <cell r="T148">
            <v>0</v>
          </cell>
        </row>
        <row r="149">
          <cell r="B149">
            <v>1813200110</v>
          </cell>
          <cell r="C149" t="str">
            <v>110</v>
          </cell>
          <cell r="D149" t="str">
            <v>813200</v>
          </cell>
          <cell r="E149" t="str">
            <v>משכורת ושכ"ע שרתים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109000</v>
          </cell>
          <cell r="Q149">
            <v>90000</v>
          </cell>
          <cell r="R149">
            <v>130000</v>
          </cell>
          <cell r="S149">
            <v>0</v>
          </cell>
          <cell r="T149">
            <v>0</v>
          </cell>
        </row>
        <row r="150">
          <cell r="B150">
            <v>1813200420</v>
          </cell>
          <cell r="C150" t="str">
            <v>420</v>
          </cell>
          <cell r="D150" t="str">
            <v>813200</v>
          </cell>
          <cell r="E150" t="str">
            <v>אחזקת מבני בי"ס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39000</v>
          </cell>
          <cell r="Q150">
            <v>4601</v>
          </cell>
          <cell r="R150">
            <v>6000</v>
          </cell>
          <cell r="S150">
            <v>0</v>
          </cell>
          <cell r="T150">
            <v>0</v>
          </cell>
        </row>
        <row r="151">
          <cell r="B151">
            <v>1813200431</v>
          </cell>
          <cell r="C151" t="str">
            <v>431</v>
          </cell>
          <cell r="D151" t="str">
            <v>813200</v>
          </cell>
          <cell r="E151" t="str">
            <v>חשמל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199000</v>
          </cell>
          <cell r="Q151">
            <v>95541.68</v>
          </cell>
          <cell r="R151">
            <v>115000</v>
          </cell>
          <cell r="S151">
            <v>0</v>
          </cell>
          <cell r="T151">
            <v>0</v>
          </cell>
        </row>
        <row r="152">
          <cell r="B152">
            <v>1813200432</v>
          </cell>
          <cell r="C152" t="str">
            <v>432</v>
          </cell>
          <cell r="D152" t="str">
            <v>813200</v>
          </cell>
          <cell r="E152" t="str">
            <v>מים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75000</v>
          </cell>
          <cell r="Q152">
            <v>0</v>
          </cell>
          <cell r="R152">
            <v>24500</v>
          </cell>
          <cell r="S152">
            <v>0</v>
          </cell>
          <cell r="T152">
            <v>0</v>
          </cell>
        </row>
        <row r="153">
          <cell r="B153">
            <v>1813200433</v>
          </cell>
          <cell r="C153" t="str">
            <v>433</v>
          </cell>
          <cell r="D153" t="str">
            <v>813200</v>
          </cell>
          <cell r="E153" t="str">
            <v>חומרי ניקיון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2000</v>
          </cell>
          <cell r="Q153">
            <v>1590</v>
          </cell>
          <cell r="R153">
            <v>2000</v>
          </cell>
          <cell r="S153">
            <v>0</v>
          </cell>
          <cell r="T153">
            <v>0</v>
          </cell>
        </row>
        <row r="154">
          <cell r="B154">
            <v>1813200440</v>
          </cell>
          <cell r="C154" t="str">
            <v>440</v>
          </cell>
          <cell r="D154" t="str">
            <v>813200</v>
          </cell>
          <cell r="E154" t="str">
            <v>ביטוחים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150000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B155">
            <v>1813200450</v>
          </cell>
          <cell r="C155" t="str">
            <v>450</v>
          </cell>
          <cell r="D155" t="str">
            <v>813200</v>
          </cell>
          <cell r="E155" t="str">
            <v>ריהוט ואחזקתו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9000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B156">
            <v>1813200470</v>
          </cell>
          <cell r="C156" t="str">
            <v>470</v>
          </cell>
          <cell r="D156" t="str">
            <v>813200</v>
          </cell>
          <cell r="E156" t="str">
            <v>ציוד משרדי ומחשבים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43000</v>
          </cell>
          <cell r="Q156">
            <v>30447</v>
          </cell>
          <cell r="R156">
            <v>40000</v>
          </cell>
          <cell r="S156">
            <v>0</v>
          </cell>
          <cell r="T156">
            <v>0</v>
          </cell>
        </row>
        <row r="157">
          <cell r="B157">
            <v>1813200540</v>
          </cell>
          <cell r="C157" t="str">
            <v>540</v>
          </cell>
          <cell r="D157" t="str">
            <v>813200</v>
          </cell>
          <cell r="E157" t="str">
            <v>טלפון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21000</v>
          </cell>
          <cell r="Q157">
            <v>28950.81</v>
          </cell>
          <cell r="R157">
            <v>35000</v>
          </cell>
          <cell r="S157">
            <v>0</v>
          </cell>
          <cell r="T157">
            <v>0</v>
          </cell>
        </row>
        <row r="158">
          <cell r="B158">
            <v>1813200560</v>
          </cell>
          <cell r="C158" t="str">
            <v>560</v>
          </cell>
          <cell r="D158" t="str">
            <v>813200</v>
          </cell>
          <cell r="E158" t="str">
            <v>צילומים והדפסות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107000</v>
          </cell>
          <cell r="Q158">
            <v>17654</v>
          </cell>
          <cell r="R158">
            <v>22000</v>
          </cell>
          <cell r="S158">
            <v>0</v>
          </cell>
          <cell r="T158">
            <v>0</v>
          </cell>
        </row>
        <row r="159">
          <cell r="B159">
            <v>1813200720</v>
          </cell>
          <cell r="C159" t="str">
            <v>720</v>
          </cell>
          <cell r="D159" t="str">
            <v>813200</v>
          </cell>
          <cell r="E159" t="str">
            <v>חומרים- מעבדות בי"ס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B160">
            <v>1813200750</v>
          </cell>
          <cell r="C160" t="str">
            <v>750</v>
          </cell>
          <cell r="D160" t="str">
            <v>813200</v>
          </cell>
          <cell r="E160" t="str">
            <v>עבודות קבלניות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35000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B161">
            <v>1813200930</v>
          </cell>
          <cell r="C161" t="str">
            <v>930</v>
          </cell>
          <cell r="D161" t="str">
            <v>813200</v>
          </cell>
          <cell r="E161" t="str">
            <v>ציוד יסודי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40000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B162">
            <v>1813210110</v>
          </cell>
          <cell r="C162" t="str">
            <v>110</v>
          </cell>
          <cell r="D162" t="str">
            <v>813210</v>
          </cell>
          <cell r="E162" t="str">
            <v>מזכירים חינוך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348000</v>
          </cell>
          <cell r="Q162">
            <v>341853.44</v>
          </cell>
          <cell r="R162">
            <v>456000</v>
          </cell>
          <cell r="S162">
            <v>0</v>
          </cell>
          <cell r="T162">
            <v>0</v>
          </cell>
        </row>
        <row r="163">
          <cell r="B163">
            <v>1813210470</v>
          </cell>
          <cell r="C163" t="str">
            <v>470</v>
          </cell>
          <cell r="D163" t="str">
            <v>813210</v>
          </cell>
          <cell r="E163" t="str">
            <v>מחשבים לב"ס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200672</v>
          </cell>
          <cell r="R163">
            <v>201000</v>
          </cell>
          <cell r="S163">
            <v>0</v>
          </cell>
          <cell r="T163">
            <v>0</v>
          </cell>
        </row>
        <row r="164">
          <cell r="B164">
            <v>1813210570</v>
          </cell>
          <cell r="C164" t="str">
            <v>570</v>
          </cell>
          <cell r="D164" t="str">
            <v>813210</v>
          </cell>
          <cell r="E164" t="str">
            <v>ערכאות והדרכות לתלמידים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68150</v>
          </cell>
          <cell r="R164">
            <v>82000</v>
          </cell>
          <cell r="S164">
            <v>0</v>
          </cell>
          <cell r="T164">
            <v>0</v>
          </cell>
        </row>
        <row r="165">
          <cell r="B165">
            <v>1813210750</v>
          </cell>
          <cell r="C165" t="str">
            <v>750</v>
          </cell>
          <cell r="D165" t="str">
            <v>813210</v>
          </cell>
          <cell r="E165" t="str">
            <v>שיפוצים ביתי ספר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33497</v>
          </cell>
          <cell r="R165">
            <v>40000</v>
          </cell>
          <cell r="S165">
            <v>0</v>
          </cell>
          <cell r="T165">
            <v>0</v>
          </cell>
        </row>
        <row r="166">
          <cell r="B166">
            <v>1813220110</v>
          </cell>
          <cell r="C166" t="str">
            <v>110</v>
          </cell>
          <cell r="D166" t="str">
            <v>813220</v>
          </cell>
          <cell r="E166" t="str">
            <v>אחזקה ותקונים ביתי"ס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 t="str">
            <v>חינוך יסודי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>
            <v>1177000</v>
          </cell>
          <cell r="Q167">
            <v>912956.92999999993</v>
          </cell>
          <cell r="R167">
            <v>1153500</v>
          </cell>
          <cell r="S167">
            <v>0</v>
          </cell>
          <cell r="T167" t="e">
            <v>#REF!</v>
          </cell>
        </row>
        <row r="168">
          <cell r="B168">
            <v>1813300110</v>
          </cell>
          <cell r="C168" t="str">
            <v>110</v>
          </cell>
          <cell r="D168" t="str">
            <v>813300</v>
          </cell>
          <cell r="E168" t="str">
            <v>סייעות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B169">
            <v>1813300430</v>
          </cell>
          <cell r="C169" t="str">
            <v>430</v>
          </cell>
          <cell r="D169" t="str">
            <v>813300</v>
          </cell>
          <cell r="E169" t="str">
            <v>ניהול עצמי משופר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858000</v>
          </cell>
          <cell r="R169">
            <v>858000</v>
          </cell>
          <cell r="S169">
            <v>0</v>
          </cell>
          <cell r="T169">
            <v>0</v>
          </cell>
        </row>
        <row r="170">
          <cell r="B170">
            <v>1813300780</v>
          </cell>
          <cell r="C170" t="str">
            <v>780</v>
          </cell>
          <cell r="D170" t="str">
            <v>813300</v>
          </cell>
          <cell r="E170" t="str">
            <v>חינוך מיוחד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12000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B171">
            <v>1813300810</v>
          </cell>
          <cell r="C171" t="str">
            <v>810</v>
          </cell>
          <cell r="D171" t="str">
            <v>813300</v>
          </cell>
          <cell r="E171" t="str">
            <v>אגרת תלמיד חוץ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401000</v>
          </cell>
          <cell r="Q171">
            <v>588039</v>
          </cell>
          <cell r="R171">
            <v>588000</v>
          </cell>
          <cell r="S171">
            <v>0</v>
          </cell>
          <cell r="T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 t="str">
            <v>חינוך מיוחד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413000</v>
          </cell>
          <cell r="Q172">
            <v>1446039</v>
          </cell>
          <cell r="R172">
            <v>1446000</v>
          </cell>
          <cell r="S172">
            <v>0</v>
          </cell>
          <cell r="T172">
            <v>0</v>
          </cell>
        </row>
        <row r="173">
          <cell r="B173">
            <v>1813400430</v>
          </cell>
          <cell r="C173" t="str">
            <v>430</v>
          </cell>
          <cell r="D173" t="str">
            <v>813400</v>
          </cell>
          <cell r="E173" t="str">
            <v>ניהול עצמי אלשאפיעי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61899</v>
          </cell>
          <cell r="R173">
            <v>155000</v>
          </cell>
          <cell r="S173">
            <v>0</v>
          </cell>
          <cell r="T173">
            <v>0</v>
          </cell>
        </row>
        <row r="174">
          <cell r="B174">
            <v>1813500430</v>
          </cell>
          <cell r="C174" t="str">
            <v>430</v>
          </cell>
          <cell r="D174" t="str">
            <v>813500</v>
          </cell>
          <cell r="E174" t="str">
            <v>ניהול עצמי אלפארוק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62945</v>
          </cell>
          <cell r="R174">
            <v>168000</v>
          </cell>
          <cell r="S174">
            <v>0</v>
          </cell>
          <cell r="T174">
            <v>0</v>
          </cell>
        </row>
        <row r="175">
          <cell r="B175">
            <v>1813560043</v>
          </cell>
          <cell r="C175" t="str">
            <v>043</v>
          </cell>
          <cell r="D175" t="str">
            <v>813560</v>
          </cell>
          <cell r="E175" t="str">
            <v>ניהול עצמי אל- סדיק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42932</v>
          </cell>
          <cell r="R175">
            <v>103000</v>
          </cell>
          <cell r="S175">
            <v>0</v>
          </cell>
          <cell r="T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בתי"ס חט"בים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167776</v>
          </cell>
          <cell r="R176">
            <v>426000</v>
          </cell>
          <cell r="S176">
            <v>0</v>
          </cell>
          <cell r="T176">
            <v>0</v>
          </cell>
        </row>
        <row r="177">
          <cell r="B177">
            <v>1813800110</v>
          </cell>
          <cell r="C177" t="str">
            <v>110</v>
          </cell>
          <cell r="D177" t="str">
            <v>813800</v>
          </cell>
          <cell r="E177" t="str">
            <v>קייטנה זמניים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158994.47</v>
          </cell>
          <cell r="R177">
            <v>212000</v>
          </cell>
          <cell r="S177">
            <v>0</v>
          </cell>
          <cell r="T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קיטנות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158994.47</v>
          </cell>
          <cell r="R178">
            <v>212000</v>
          </cell>
          <cell r="S178">
            <v>0</v>
          </cell>
          <cell r="T178">
            <v>0</v>
          </cell>
        </row>
        <row r="179">
          <cell r="B179">
            <v>1815100110</v>
          </cell>
          <cell r="C179" t="str">
            <v>110</v>
          </cell>
          <cell r="D179" t="str">
            <v>815100</v>
          </cell>
          <cell r="E179" t="str">
            <v>משכורת בי"ס על יסודיים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750000</v>
          </cell>
          <cell r="Q179">
            <v>639626.09</v>
          </cell>
          <cell r="R179">
            <v>865000</v>
          </cell>
          <cell r="S179">
            <v>0</v>
          </cell>
          <cell r="T179">
            <v>0</v>
          </cell>
        </row>
        <row r="180">
          <cell r="B180">
            <v>1815200320</v>
          </cell>
          <cell r="C180" t="str">
            <v>320</v>
          </cell>
          <cell r="D180" t="str">
            <v>815200</v>
          </cell>
          <cell r="E180" t="str">
            <v>הוצ" פיצויים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B181">
            <v>1815200420</v>
          </cell>
          <cell r="C181" t="str">
            <v>420</v>
          </cell>
          <cell r="D181" t="str">
            <v>815200</v>
          </cell>
          <cell r="E181" t="str">
            <v>אחזקת מבנים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47000</v>
          </cell>
          <cell r="Q181">
            <v>25043</v>
          </cell>
          <cell r="R181">
            <v>30000</v>
          </cell>
          <cell r="S181">
            <v>0</v>
          </cell>
          <cell r="T181">
            <v>0</v>
          </cell>
        </row>
        <row r="182">
          <cell r="B182">
            <v>1815200425</v>
          </cell>
          <cell r="C182" t="str">
            <v>425</v>
          </cell>
          <cell r="D182" t="str">
            <v>815200</v>
          </cell>
          <cell r="E182" t="str">
            <v>פינות פרטניות עוז לתמורה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B183">
            <v>1815200431</v>
          </cell>
          <cell r="C183" t="str">
            <v>431</v>
          </cell>
          <cell r="D183" t="str">
            <v>815200</v>
          </cell>
          <cell r="E183" t="str">
            <v>חשמל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129000</v>
          </cell>
          <cell r="Q183">
            <v>124393.86</v>
          </cell>
          <cell r="R183">
            <v>210000</v>
          </cell>
          <cell r="S183">
            <v>0</v>
          </cell>
          <cell r="T183">
            <v>0</v>
          </cell>
        </row>
        <row r="184">
          <cell r="B184">
            <v>1815200432</v>
          </cell>
          <cell r="C184" t="str">
            <v>432</v>
          </cell>
          <cell r="D184" t="str">
            <v>815200</v>
          </cell>
          <cell r="E184" t="str">
            <v>מים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55000</v>
          </cell>
          <cell r="Q184">
            <v>0</v>
          </cell>
          <cell r="R184">
            <v>34500</v>
          </cell>
          <cell r="S184">
            <v>0</v>
          </cell>
          <cell r="T184">
            <v>0</v>
          </cell>
        </row>
        <row r="185">
          <cell r="B185">
            <v>1815200433</v>
          </cell>
          <cell r="C185" t="str">
            <v>433</v>
          </cell>
          <cell r="D185" t="str">
            <v>815200</v>
          </cell>
          <cell r="E185" t="str">
            <v>חומרי נקיון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28000</v>
          </cell>
          <cell r="Q185">
            <v>21534</v>
          </cell>
          <cell r="R185">
            <v>26000</v>
          </cell>
          <cell r="S185">
            <v>0</v>
          </cell>
          <cell r="T185">
            <v>0</v>
          </cell>
        </row>
        <row r="186">
          <cell r="B186">
            <v>1815200440</v>
          </cell>
          <cell r="C186" t="str">
            <v>440</v>
          </cell>
          <cell r="D186" t="str">
            <v>815200</v>
          </cell>
          <cell r="E186" t="str">
            <v>ביטוחים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B187">
            <v>1815200450</v>
          </cell>
          <cell r="C187" t="str">
            <v>450</v>
          </cell>
          <cell r="D187" t="str">
            <v>815200</v>
          </cell>
          <cell r="E187" t="str">
            <v>ריהוט ואחזקתו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12000</v>
          </cell>
          <cell r="Q187">
            <v>2138.36</v>
          </cell>
          <cell r="R187">
            <v>5000</v>
          </cell>
          <cell r="S187">
            <v>0</v>
          </cell>
          <cell r="T187">
            <v>0</v>
          </cell>
        </row>
        <row r="188">
          <cell r="B188">
            <v>1815200470</v>
          </cell>
          <cell r="C188" t="str">
            <v>470</v>
          </cell>
          <cell r="D188" t="str">
            <v>815200</v>
          </cell>
          <cell r="E188" t="str">
            <v>ציוד משרדי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37000</v>
          </cell>
          <cell r="Q188">
            <v>71539</v>
          </cell>
          <cell r="R188">
            <v>86000</v>
          </cell>
          <cell r="S188">
            <v>0</v>
          </cell>
          <cell r="T188">
            <v>0</v>
          </cell>
        </row>
        <row r="189">
          <cell r="B189">
            <v>1815200510</v>
          </cell>
          <cell r="C189" t="str">
            <v>510</v>
          </cell>
          <cell r="D189" t="str">
            <v>815200</v>
          </cell>
          <cell r="E189" t="str">
            <v>דמי שתיה ועד עובדים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10000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B190">
            <v>1815200522</v>
          </cell>
          <cell r="C190" t="str">
            <v>522</v>
          </cell>
          <cell r="D190" t="str">
            <v>815200</v>
          </cell>
          <cell r="E190" t="str">
            <v>ספרות מקצועית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B191">
            <v>1815200540</v>
          </cell>
          <cell r="C191" t="str">
            <v>540</v>
          </cell>
          <cell r="D191" t="str">
            <v>815200</v>
          </cell>
          <cell r="E191" t="str">
            <v>טלפון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21000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B192">
            <v>1815200560</v>
          </cell>
          <cell r="C192" t="str">
            <v>560</v>
          </cell>
          <cell r="D192" t="str">
            <v>815200</v>
          </cell>
          <cell r="E192" t="str">
            <v>צילומים והדפסות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80000</v>
          </cell>
          <cell r="Q192">
            <v>36083</v>
          </cell>
          <cell r="R192">
            <v>45000</v>
          </cell>
          <cell r="S192">
            <v>0</v>
          </cell>
          <cell r="T192">
            <v>0</v>
          </cell>
        </row>
        <row r="193">
          <cell r="B193">
            <v>1815200570</v>
          </cell>
          <cell r="C193" t="str">
            <v>570</v>
          </cell>
          <cell r="D193" t="str">
            <v>815200</v>
          </cell>
          <cell r="E193" t="str">
            <v>אומניות העיצוב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31000</v>
          </cell>
          <cell r="Q193">
            <v>15210</v>
          </cell>
          <cell r="R193">
            <v>20000</v>
          </cell>
          <cell r="S193">
            <v>0</v>
          </cell>
          <cell r="T193">
            <v>0</v>
          </cell>
        </row>
        <row r="194">
          <cell r="B194">
            <v>1815200580</v>
          </cell>
          <cell r="C194" t="str">
            <v>580</v>
          </cell>
          <cell r="D194" t="str">
            <v>815200</v>
          </cell>
          <cell r="E194" t="str">
            <v>פרוייקט תעשיה ומדע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67000</v>
          </cell>
          <cell r="Q194">
            <v>77850</v>
          </cell>
          <cell r="R194">
            <v>94000</v>
          </cell>
          <cell r="S194">
            <v>0</v>
          </cell>
          <cell r="T194">
            <v>0</v>
          </cell>
        </row>
        <row r="195">
          <cell r="B195">
            <v>1815200650</v>
          </cell>
          <cell r="C195" t="str">
            <v>650</v>
          </cell>
          <cell r="D195" t="str">
            <v>815200</v>
          </cell>
          <cell r="E195" t="str">
            <v>פרוייקטים קהילתיים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B196">
            <v>1815200720</v>
          </cell>
          <cell r="C196" t="str">
            <v>720</v>
          </cell>
          <cell r="D196" t="str">
            <v>815200</v>
          </cell>
          <cell r="E196" t="str">
            <v>מעבדות טכנולגיות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48933</v>
          </cell>
          <cell r="R196">
            <v>60000</v>
          </cell>
          <cell r="S196">
            <v>0</v>
          </cell>
          <cell r="T196">
            <v>0</v>
          </cell>
        </row>
        <row r="197">
          <cell r="B197">
            <v>1815200730</v>
          </cell>
          <cell r="C197" t="str">
            <v>730</v>
          </cell>
          <cell r="D197" t="str">
            <v>815200</v>
          </cell>
          <cell r="E197" t="str">
            <v>מעבדת מכטרוניקה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41919.9</v>
          </cell>
          <cell r="R197">
            <v>50000</v>
          </cell>
          <cell r="S197">
            <v>0</v>
          </cell>
          <cell r="T197">
            <v>0</v>
          </cell>
        </row>
        <row r="198">
          <cell r="B198">
            <v>1815200750</v>
          </cell>
          <cell r="C198" t="str">
            <v>750</v>
          </cell>
          <cell r="D198" t="str">
            <v>815200</v>
          </cell>
          <cell r="E198" t="str">
            <v>שפוצים בי"ס ובטיחות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88000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B199">
            <v>1815200780</v>
          </cell>
          <cell r="C199" t="str">
            <v>780</v>
          </cell>
          <cell r="D199" t="str">
            <v>815200</v>
          </cell>
          <cell r="E199" t="str">
            <v>הסעות ושונות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12000</v>
          </cell>
          <cell r="Q199">
            <v>13982</v>
          </cell>
          <cell r="R199">
            <v>17000</v>
          </cell>
          <cell r="S199">
            <v>0</v>
          </cell>
          <cell r="T199">
            <v>0</v>
          </cell>
        </row>
        <row r="200">
          <cell r="B200">
            <v>1815200790</v>
          </cell>
          <cell r="C200" t="str">
            <v>790</v>
          </cell>
          <cell r="D200" t="str">
            <v>815200</v>
          </cell>
          <cell r="E200" t="str">
            <v>תוכנית הדו"מ -הדרכת הורים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B201">
            <v>1815200800</v>
          </cell>
          <cell r="C201" t="str">
            <v>800</v>
          </cell>
          <cell r="D201" t="str">
            <v>815200</v>
          </cell>
          <cell r="E201" t="str">
            <v>הרצאות ופעולות תרבות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19040</v>
          </cell>
          <cell r="R201">
            <v>23000</v>
          </cell>
          <cell r="S201">
            <v>0</v>
          </cell>
          <cell r="T201">
            <v>0</v>
          </cell>
        </row>
        <row r="202">
          <cell r="B202">
            <v>1815200810</v>
          </cell>
          <cell r="C202" t="str">
            <v>810</v>
          </cell>
          <cell r="D202" t="str">
            <v>815200</v>
          </cell>
          <cell r="E202" t="str">
            <v>מניעת שימוש בסמים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5000</v>
          </cell>
          <cell r="Q202">
            <v>5500</v>
          </cell>
          <cell r="R202">
            <v>7000</v>
          </cell>
          <cell r="S202">
            <v>0</v>
          </cell>
          <cell r="T202">
            <v>0</v>
          </cell>
        </row>
        <row r="203">
          <cell r="B203">
            <v>1815200850</v>
          </cell>
          <cell r="C203" t="str">
            <v>850</v>
          </cell>
          <cell r="D203" t="str">
            <v>815200</v>
          </cell>
          <cell r="E203" t="str">
            <v>קשרים בינלאומיים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B204">
            <v>1815200930</v>
          </cell>
          <cell r="C204" t="str">
            <v>930</v>
          </cell>
          <cell r="D204" t="str">
            <v>815200</v>
          </cell>
          <cell r="E204" t="str">
            <v>ציוד יסודי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4000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B205">
            <v>1815210580</v>
          </cell>
          <cell r="C205" t="str">
            <v>580</v>
          </cell>
          <cell r="D205" t="str">
            <v>815210</v>
          </cell>
          <cell r="E205" t="str">
            <v>מחשב לכל ילד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5000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B206">
            <v>1815210720</v>
          </cell>
          <cell r="C206" t="str">
            <v>720</v>
          </cell>
          <cell r="D206" t="str">
            <v>815210</v>
          </cell>
          <cell r="E206" t="str">
            <v>מעבדה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1600</v>
          </cell>
          <cell r="R206">
            <v>2000</v>
          </cell>
          <cell r="S206">
            <v>0</v>
          </cell>
          <cell r="T206">
            <v>0</v>
          </cell>
        </row>
        <row r="207">
          <cell r="B207">
            <v>1815210930</v>
          </cell>
          <cell r="C207" t="str">
            <v>930</v>
          </cell>
          <cell r="D207" t="str">
            <v>815210</v>
          </cell>
          <cell r="E207" t="str">
            <v>ציוד חדר טכנולוגיה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16000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B208">
            <v>1815211930</v>
          </cell>
          <cell r="C208" t="str">
            <v>930</v>
          </cell>
          <cell r="D208" t="str">
            <v>815211</v>
          </cell>
          <cell r="E208" t="str">
            <v>הוצאות תחזוקה והפעלה של מעבדות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B209">
            <v>1815212930</v>
          </cell>
          <cell r="C209" t="str">
            <v>930</v>
          </cell>
          <cell r="D209" t="str">
            <v>815212</v>
          </cell>
          <cell r="E209" t="str">
            <v>הוצאות פעולות תרבות וחברה תיכו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2106</v>
          </cell>
          <cell r="R209">
            <v>3000</v>
          </cell>
          <cell r="S209">
            <v>0</v>
          </cell>
          <cell r="T209">
            <v>0</v>
          </cell>
        </row>
        <row r="210">
          <cell r="B210">
            <v>1815300431</v>
          </cell>
          <cell r="C210" t="str">
            <v>431</v>
          </cell>
          <cell r="D210" t="str">
            <v>815300</v>
          </cell>
          <cell r="E210" t="str">
            <v>חשמל מקיף גבעה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74000</v>
          </cell>
          <cell r="Q210">
            <v>73944.759999999995</v>
          </cell>
          <cell r="R210">
            <v>90000</v>
          </cell>
          <cell r="S210">
            <v>0</v>
          </cell>
          <cell r="T210">
            <v>0</v>
          </cell>
        </row>
        <row r="211">
          <cell r="B211">
            <v>1815700110</v>
          </cell>
          <cell r="C211" t="str">
            <v>110</v>
          </cell>
          <cell r="D211" t="str">
            <v>815700</v>
          </cell>
          <cell r="E211" t="str">
            <v>משכורת מקיף פרדיס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9666000</v>
          </cell>
          <cell r="Q211">
            <v>7577252.8799999999</v>
          </cell>
          <cell r="R211">
            <v>9900000</v>
          </cell>
          <cell r="S211">
            <v>0</v>
          </cell>
          <cell r="T211">
            <v>0</v>
          </cell>
        </row>
        <row r="212">
          <cell r="B212">
            <v>1815700312</v>
          </cell>
          <cell r="C212" t="str">
            <v>312</v>
          </cell>
          <cell r="D212" t="str">
            <v>815700</v>
          </cell>
          <cell r="E212" t="str">
            <v>ע"ח מבטחים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B213">
            <v>1815710432</v>
          </cell>
          <cell r="C213" t="str">
            <v>432</v>
          </cell>
          <cell r="D213" t="str">
            <v>815710</v>
          </cell>
          <cell r="E213" t="str">
            <v>מטרות  ציל"ה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440000</v>
          </cell>
          <cell r="R213">
            <v>440000</v>
          </cell>
          <cell r="S213">
            <v>0</v>
          </cell>
          <cell r="T213">
            <v>0</v>
          </cell>
        </row>
        <row r="214">
          <cell r="B214">
            <v>1815710810</v>
          </cell>
          <cell r="C214" t="str">
            <v>810</v>
          </cell>
          <cell r="D214" t="str">
            <v>815710</v>
          </cell>
          <cell r="E214" t="str">
            <v>סייעות ציל"ה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B215">
            <v>1815800110</v>
          </cell>
          <cell r="C215" t="str">
            <v>110</v>
          </cell>
          <cell r="D215" t="str">
            <v>815800</v>
          </cell>
          <cell r="E215" t="str">
            <v>משכורת תיכון גבעה חדש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3242000</v>
          </cell>
          <cell r="Q215">
            <v>4232146.43</v>
          </cell>
          <cell r="R215">
            <v>5800000</v>
          </cell>
          <cell r="S215">
            <v>0</v>
          </cell>
          <cell r="T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 t="str">
            <v>בתי"ס על יסודיים</v>
          </cell>
          <cell r="F216" t="e">
            <v>#REF!</v>
          </cell>
          <cell r="G216" t="e">
            <v>#REF!</v>
          </cell>
          <cell r="H216" t="e">
            <v>#REF!</v>
          </cell>
          <cell r="I216" t="e">
            <v>#REF!</v>
          </cell>
          <cell r="J216" t="e">
            <v>#REF!</v>
          </cell>
          <cell r="K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14379000</v>
          </cell>
          <cell r="Q216">
            <v>13469842.279999999</v>
          </cell>
          <cell r="R216">
            <v>17807500</v>
          </cell>
          <cell r="S216">
            <v>0</v>
          </cell>
          <cell r="T216" t="e">
            <v>#REF!</v>
          </cell>
        </row>
        <row r="217">
          <cell r="B217">
            <v>1817000110</v>
          </cell>
          <cell r="C217" t="str">
            <v>110</v>
          </cell>
          <cell r="D217" t="str">
            <v>817000</v>
          </cell>
          <cell r="E217" t="str">
            <v>הוצ משכורת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1365000</v>
          </cell>
          <cell r="Q217">
            <v>1280309.97</v>
          </cell>
          <cell r="R217">
            <v>1707000</v>
          </cell>
          <cell r="S217">
            <v>0</v>
          </cell>
          <cell r="T217">
            <v>0</v>
          </cell>
        </row>
        <row r="218">
          <cell r="B218">
            <v>1817000460</v>
          </cell>
          <cell r="C218" t="str">
            <v>460</v>
          </cell>
          <cell r="D218" t="str">
            <v>817000</v>
          </cell>
          <cell r="E218" t="str">
            <v>ריהוט וציוד לחינוך מיוחד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5000</v>
          </cell>
          <cell r="Q218">
            <v>1501</v>
          </cell>
          <cell r="R218">
            <v>2000</v>
          </cell>
          <cell r="S218">
            <v>0</v>
          </cell>
          <cell r="T218">
            <v>0</v>
          </cell>
        </row>
        <row r="219">
          <cell r="B219">
            <v>1817000470</v>
          </cell>
          <cell r="C219" t="str">
            <v>470</v>
          </cell>
          <cell r="D219" t="str">
            <v>817000</v>
          </cell>
          <cell r="E219" t="str">
            <v>ציוד משרדי ומשחקים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9000</v>
          </cell>
          <cell r="Q219">
            <v>127</v>
          </cell>
          <cell r="R219">
            <v>1000</v>
          </cell>
          <cell r="S219">
            <v>0</v>
          </cell>
          <cell r="T219">
            <v>0</v>
          </cell>
        </row>
        <row r="220">
          <cell r="B220">
            <v>1817100750</v>
          </cell>
          <cell r="C220" t="str">
            <v>750</v>
          </cell>
          <cell r="D220" t="str">
            <v>817100</v>
          </cell>
          <cell r="E220" t="str">
            <v>שמירה ובטחון מוסדות חינוך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1060000</v>
          </cell>
          <cell r="Q220">
            <v>547539.55000000005</v>
          </cell>
          <cell r="R220">
            <v>730000</v>
          </cell>
          <cell r="S220">
            <v>0</v>
          </cell>
          <cell r="T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 t="str">
            <v>שירות חינוך מיוחד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2439000</v>
          </cell>
          <cell r="Q221">
            <v>1829477.52</v>
          </cell>
          <cell r="R221">
            <v>2440000</v>
          </cell>
          <cell r="S221">
            <v>0</v>
          </cell>
          <cell r="T221">
            <v>0</v>
          </cell>
        </row>
        <row r="222">
          <cell r="B222">
            <v>1817300110</v>
          </cell>
          <cell r="C222" t="str">
            <v>110</v>
          </cell>
          <cell r="D222" t="str">
            <v>817300</v>
          </cell>
          <cell r="E222" t="str">
            <v>משכורות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730000</v>
          </cell>
          <cell r="Q222">
            <v>527084</v>
          </cell>
          <cell r="R222">
            <v>703000</v>
          </cell>
          <cell r="S222">
            <v>0</v>
          </cell>
          <cell r="T222">
            <v>0</v>
          </cell>
        </row>
        <row r="223">
          <cell r="B223">
            <v>1817300410</v>
          </cell>
          <cell r="C223" t="str">
            <v>410</v>
          </cell>
          <cell r="D223" t="str">
            <v>817300</v>
          </cell>
          <cell r="E223" t="str">
            <v>שכ"ד פסיכולוגי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24000</v>
          </cell>
          <cell r="Q223">
            <v>24000</v>
          </cell>
          <cell r="R223">
            <v>24000</v>
          </cell>
          <cell r="S223">
            <v>0</v>
          </cell>
          <cell r="T223">
            <v>0</v>
          </cell>
        </row>
        <row r="224">
          <cell r="B224">
            <v>1817300540</v>
          </cell>
          <cell r="C224" t="str">
            <v>540</v>
          </cell>
          <cell r="D224" t="str">
            <v>817300</v>
          </cell>
          <cell r="E224" t="str">
            <v>טלפון פסיכולוגים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7472.62</v>
          </cell>
          <cell r="R224">
            <v>9000</v>
          </cell>
          <cell r="S224">
            <v>0</v>
          </cell>
          <cell r="T224">
            <v>0</v>
          </cell>
        </row>
        <row r="225">
          <cell r="B225">
            <v>1817300750</v>
          </cell>
          <cell r="C225" t="str">
            <v>750</v>
          </cell>
          <cell r="D225" t="str">
            <v>817300</v>
          </cell>
          <cell r="E225" t="str">
            <v>שירות פסעכולוגי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B226">
            <v>1817300810</v>
          </cell>
          <cell r="C226" t="str">
            <v>810</v>
          </cell>
          <cell r="D226" t="str">
            <v>817300</v>
          </cell>
          <cell r="E226" t="str">
            <v>שרות פסיכולוגי השת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71000</v>
          </cell>
          <cell r="Q226">
            <v>16800</v>
          </cell>
          <cell r="R226">
            <v>33000</v>
          </cell>
          <cell r="S226">
            <v>0</v>
          </cell>
          <cell r="T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 t="str">
            <v>שירות פסיכולוגי</v>
          </cell>
          <cell r="F227" t="e">
            <v>#REF!</v>
          </cell>
          <cell r="G227" t="e">
            <v>#REF!</v>
          </cell>
          <cell r="H227" t="e">
            <v>#REF!</v>
          </cell>
          <cell r="I227" t="e">
            <v>#REF!</v>
          </cell>
          <cell r="J227" t="e">
            <v>#REF!</v>
          </cell>
          <cell r="K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825000</v>
          </cell>
          <cell r="Q227">
            <v>575356.62</v>
          </cell>
          <cell r="R227">
            <v>769000</v>
          </cell>
          <cell r="S227">
            <v>0</v>
          </cell>
          <cell r="T227">
            <v>0</v>
          </cell>
        </row>
        <row r="228">
          <cell r="B228">
            <v>1817700110</v>
          </cell>
          <cell r="C228" t="str">
            <v>110</v>
          </cell>
          <cell r="D228" t="str">
            <v>817700</v>
          </cell>
          <cell r="E228" t="str">
            <v>משכורת    כוללת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299000</v>
          </cell>
          <cell r="Q228">
            <v>167643.94</v>
          </cell>
          <cell r="R228">
            <v>212000</v>
          </cell>
          <cell r="S228">
            <v>0</v>
          </cell>
          <cell r="T228">
            <v>0</v>
          </cell>
        </row>
        <row r="229">
          <cell r="B229">
            <v>1817700810</v>
          </cell>
          <cell r="C229" t="str">
            <v>810</v>
          </cell>
          <cell r="D229" t="str">
            <v>817700</v>
          </cell>
          <cell r="E229" t="str">
            <v>פר"ח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32000</v>
          </cell>
          <cell r="Q229">
            <v>24800</v>
          </cell>
          <cell r="R229">
            <v>30000</v>
          </cell>
          <cell r="S229">
            <v>0</v>
          </cell>
          <cell r="T229">
            <v>0</v>
          </cell>
        </row>
        <row r="230">
          <cell r="B230">
            <v>1817710750</v>
          </cell>
          <cell r="C230" t="str">
            <v>750</v>
          </cell>
          <cell r="D230" t="str">
            <v>817710</v>
          </cell>
          <cell r="E230" t="str">
            <v>מנ"ע -  מניעת נשירה מבי"ס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8951</v>
          </cell>
          <cell r="R230">
            <v>11000</v>
          </cell>
          <cell r="S230">
            <v>0</v>
          </cell>
          <cell r="T230">
            <v>0</v>
          </cell>
        </row>
        <row r="231">
          <cell r="B231">
            <v>1817720920</v>
          </cell>
          <cell r="C231" t="str">
            <v>920</v>
          </cell>
          <cell r="D231" t="str">
            <v>817720</v>
          </cell>
          <cell r="E231" t="str">
            <v>מילוי מקום מוסדות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B232">
            <v>1817800710</v>
          </cell>
          <cell r="C232" t="str">
            <v>710</v>
          </cell>
          <cell r="D232" t="str">
            <v>817800</v>
          </cell>
          <cell r="E232" t="str">
            <v>הסעות-חיונוך מיוחד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1594000</v>
          </cell>
          <cell r="Q232">
            <v>1257856.3400000001</v>
          </cell>
          <cell r="R232">
            <v>1510000</v>
          </cell>
          <cell r="S232">
            <v>0</v>
          </cell>
          <cell r="T232">
            <v>0</v>
          </cell>
        </row>
        <row r="233">
          <cell r="B233">
            <v>1817800711</v>
          </cell>
          <cell r="C233" t="str">
            <v>711</v>
          </cell>
          <cell r="D233" t="str">
            <v>817800</v>
          </cell>
          <cell r="E233" t="str">
            <v>ליווי חינוך מיוחד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208000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B234">
            <v>1817800810</v>
          </cell>
          <cell r="C234" t="str">
            <v>810</v>
          </cell>
          <cell r="D234" t="str">
            <v>817800</v>
          </cell>
          <cell r="E234" t="str">
            <v>ליווי חינוך מיוחד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B235">
            <v>1817830710</v>
          </cell>
          <cell r="C235" t="str">
            <v>710</v>
          </cell>
          <cell r="D235" t="str">
            <v>817830</v>
          </cell>
          <cell r="E235" t="str">
            <v>ליווי חינוך מיוחד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B236">
            <v>1817840710</v>
          </cell>
          <cell r="C236" t="str">
            <v>710</v>
          </cell>
          <cell r="D236" t="str">
            <v>817840</v>
          </cell>
          <cell r="E236" t="str">
            <v>שמירה למוסדות חינוך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B237">
            <v>1817880810</v>
          </cell>
          <cell r="C237" t="str">
            <v>810</v>
          </cell>
          <cell r="D237" t="str">
            <v>817880</v>
          </cell>
          <cell r="E237" t="str">
            <v>שירות בריאותי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B238">
            <v>1817900750</v>
          </cell>
          <cell r="C238" t="str">
            <v>750</v>
          </cell>
          <cell r="D238" t="str">
            <v>817900</v>
          </cell>
          <cell r="E238" t="str">
            <v>אספקת עובדים למוסדות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606500</v>
          </cell>
          <cell r="Q238">
            <v>1771153.62</v>
          </cell>
          <cell r="R238">
            <v>2362000</v>
          </cell>
          <cell r="S238">
            <v>0</v>
          </cell>
          <cell r="T238">
            <v>0</v>
          </cell>
        </row>
        <row r="239">
          <cell r="B239">
            <v>1817900810</v>
          </cell>
          <cell r="C239" t="str">
            <v>810</v>
          </cell>
          <cell r="D239" t="str">
            <v>817900</v>
          </cell>
          <cell r="E239" t="str">
            <v>אספקת עובדים למוסדות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606500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B240">
            <v>1817900850</v>
          </cell>
          <cell r="C240" t="str">
            <v>850</v>
          </cell>
          <cell r="D240" t="str">
            <v>817900</v>
          </cell>
          <cell r="E240" t="str">
            <v>מלגות סטודינטים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B241">
            <v>1818000110</v>
          </cell>
          <cell r="C241" t="str">
            <v>110</v>
          </cell>
          <cell r="D241" t="str">
            <v>818000</v>
          </cell>
          <cell r="E241" t="str">
            <v>הוצ משכורת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E242" t="str">
            <v>שירותים נוספים</v>
          </cell>
          <cell r="F242" t="e">
            <v>#REF!</v>
          </cell>
          <cell r="G242" t="e">
            <v>#REF!</v>
          </cell>
          <cell r="H242" t="e">
            <v>#REF!</v>
          </cell>
          <cell r="I242" t="e">
            <v>#REF!</v>
          </cell>
          <cell r="J242" t="e">
            <v>#REF!</v>
          </cell>
          <cell r="K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3346000</v>
          </cell>
          <cell r="Q242">
            <v>3230404.9000000004</v>
          </cell>
          <cell r="R242">
            <v>4125000</v>
          </cell>
          <cell r="S242">
            <v>0</v>
          </cell>
          <cell r="T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E243" t="str">
            <v>סה"כ חינוך</v>
          </cell>
          <cell r="F243" t="e">
            <v>#REF!</v>
          </cell>
          <cell r="G243" t="e">
            <v>#REF!</v>
          </cell>
          <cell r="H243" t="e">
            <v>#REF!</v>
          </cell>
          <cell r="I243" t="e">
            <v>#REF!</v>
          </cell>
          <cell r="J243" t="e">
            <v>#REF!</v>
          </cell>
          <cell r="K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29581000</v>
          </cell>
          <cell r="Q243">
            <v>28340830.02</v>
          </cell>
          <cell r="R243">
            <v>36974000</v>
          </cell>
          <cell r="S243">
            <v>0</v>
          </cell>
          <cell r="T243">
            <v>0</v>
          </cell>
        </row>
        <row r="244">
          <cell r="B244">
            <v>0</v>
          </cell>
          <cell r="C244" t="str">
            <v>תרבות וספורט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B245">
            <v>1821000110</v>
          </cell>
          <cell r="C245" t="str">
            <v>110</v>
          </cell>
          <cell r="D245">
            <v>821000</v>
          </cell>
          <cell r="E245" t="str">
            <v>משכורת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907000</v>
          </cell>
          <cell r="Q245">
            <v>747560.88</v>
          </cell>
          <cell r="R245">
            <v>970000</v>
          </cell>
          <cell r="S245">
            <v>0</v>
          </cell>
          <cell r="T245">
            <v>0</v>
          </cell>
        </row>
        <row r="246">
          <cell r="B246">
            <v>1822000510</v>
          </cell>
          <cell r="C246" t="str">
            <v>510</v>
          </cell>
          <cell r="D246" t="str">
            <v>822000</v>
          </cell>
          <cell r="E246" t="str">
            <v>מזון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182000</v>
          </cell>
          <cell r="Q246">
            <v>70246.720000000001</v>
          </cell>
          <cell r="R246">
            <v>85000</v>
          </cell>
          <cell r="S246">
            <v>0</v>
          </cell>
          <cell r="T246">
            <v>0</v>
          </cell>
        </row>
        <row r="247">
          <cell r="B247">
            <v>1822000650</v>
          </cell>
          <cell r="C247" t="str">
            <v>650</v>
          </cell>
          <cell r="D247" t="str">
            <v>822000</v>
          </cell>
          <cell r="E247" t="str">
            <v>קייטנות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486208.53</v>
          </cell>
          <cell r="R247">
            <v>486000</v>
          </cell>
          <cell r="S247">
            <v>0</v>
          </cell>
          <cell r="T247">
            <v>0</v>
          </cell>
        </row>
        <row r="248">
          <cell r="B248">
            <v>1822000750</v>
          </cell>
          <cell r="C248" t="str">
            <v>750</v>
          </cell>
          <cell r="D248" t="str">
            <v>822000</v>
          </cell>
          <cell r="E248" t="str">
            <v>אחזקת שוטפת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B249">
            <v>1822000810</v>
          </cell>
          <cell r="C249" t="str">
            <v>810</v>
          </cell>
          <cell r="D249" t="str">
            <v>822000</v>
          </cell>
          <cell r="E249" t="str">
            <v>מעדניות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77508</v>
          </cell>
          <cell r="R249">
            <v>93000</v>
          </cell>
          <cell r="S249">
            <v>0</v>
          </cell>
          <cell r="T249">
            <v>0</v>
          </cell>
        </row>
        <row r="250">
          <cell r="B250">
            <v>1822000930</v>
          </cell>
          <cell r="C250" t="str">
            <v>930</v>
          </cell>
          <cell r="D250" t="str">
            <v>822000</v>
          </cell>
          <cell r="E250" t="str">
            <v>ציוד יסודי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B251">
            <v>1823000110</v>
          </cell>
          <cell r="C251" t="str">
            <v>110</v>
          </cell>
          <cell r="D251" t="str">
            <v>823000</v>
          </cell>
          <cell r="E251" t="str">
            <v>משכורת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B252">
            <v>1823000431</v>
          </cell>
          <cell r="C252" t="str">
            <v>431</v>
          </cell>
          <cell r="D252" t="str">
            <v>823000</v>
          </cell>
          <cell r="E252" t="str">
            <v>חשמל ספריה צבורית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13000</v>
          </cell>
          <cell r="Q252">
            <v>8960.73</v>
          </cell>
          <cell r="R252">
            <v>11000</v>
          </cell>
          <cell r="S252">
            <v>0</v>
          </cell>
          <cell r="T252">
            <v>0</v>
          </cell>
        </row>
        <row r="253">
          <cell r="B253">
            <v>1823000560</v>
          </cell>
          <cell r="C253" t="str">
            <v>560</v>
          </cell>
          <cell r="D253" t="str">
            <v>823000</v>
          </cell>
          <cell r="E253" t="str">
            <v>משרדיות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10000</v>
          </cell>
          <cell r="Q253">
            <v>5160</v>
          </cell>
          <cell r="R253">
            <v>6000</v>
          </cell>
          <cell r="S253">
            <v>0</v>
          </cell>
          <cell r="T253">
            <v>0</v>
          </cell>
        </row>
        <row r="254">
          <cell r="B254">
            <v>1823000750</v>
          </cell>
          <cell r="C254" t="str">
            <v>750</v>
          </cell>
          <cell r="D254" t="str">
            <v>823000</v>
          </cell>
          <cell r="E254" t="str">
            <v>ספריה ציבורית אחזקה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23925.7</v>
          </cell>
          <cell r="R254">
            <v>29000</v>
          </cell>
          <cell r="S254">
            <v>0</v>
          </cell>
          <cell r="T254">
            <v>0</v>
          </cell>
        </row>
        <row r="255">
          <cell r="B255">
            <v>1823000930</v>
          </cell>
          <cell r="C255" t="str">
            <v>930</v>
          </cell>
          <cell r="D255" t="str">
            <v>823000</v>
          </cell>
          <cell r="E255" t="str">
            <v>ספריה צבורית ציוד יסודי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B256">
            <v>1824000780</v>
          </cell>
          <cell r="C256" t="str">
            <v>780</v>
          </cell>
          <cell r="D256" t="str">
            <v>824000</v>
          </cell>
          <cell r="E256" t="str">
            <v>שונות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B257">
            <v>1828000110</v>
          </cell>
          <cell r="C257" t="str">
            <v>110</v>
          </cell>
          <cell r="D257" t="str">
            <v>828000</v>
          </cell>
          <cell r="E257" t="str">
            <v>הוצ משכורת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135000</v>
          </cell>
          <cell r="Q257">
            <v>130966.46</v>
          </cell>
          <cell r="R257">
            <v>175000</v>
          </cell>
          <cell r="S257">
            <v>0</v>
          </cell>
          <cell r="T257">
            <v>0</v>
          </cell>
        </row>
        <row r="258">
          <cell r="B258">
            <v>1828100110</v>
          </cell>
          <cell r="C258" t="str">
            <v>110</v>
          </cell>
          <cell r="D258" t="str">
            <v>828100</v>
          </cell>
          <cell r="E258" t="str">
            <v>טיפול בנוער בסיכון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245000</v>
          </cell>
          <cell r="Q258">
            <v>187045.84</v>
          </cell>
          <cell r="R258">
            <v>260000</v>
          </cell>
          <cell r="S258">
            <v>0</v>
          </cell>
          <cell r="T258">
            <v>0</v>
          </cell>
        </row>
        <row r="259">
          <cell r="B259">
            <v>1828100750</v>
          </cell>
          <cell r="C259" t="str">
            <v>750</v>
          </cell>
          <cell r="D259" t="str">
            <v>828100</v>
          </cell>
          <cell r="E259" t="str">
            <v>פעולות נוער בסיכון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42925</v>
          </cell>
          <cell r="R259">
            <v>60000</v>
          </cell>
          <cell r="S259">
            <v>0</v>
          </cell>
          <cell r="T259">
            <v>0</v>
          </cell>
        </row>
        <row r="260">
          <cell r="B260">
            <v>1828200110</v>
          </cell>
          <cell r="C260" t="str">
            <v>110</v>
          </cell>
          <cell r="D260" t="str">
            <v>828200</v>
          </cell>
          <cell r="E260" t="str">
            <v>משכורת יחדת קידום נוער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344000</v>
          </cell>
          <cell r="Q260">
            <v>253588.81</v>
          </cell>
          <cell r="R260">
            <v>315000</v>
          </cell>
          <cell r="S260">
            <v>0</v>
          </cell>
          <cell r="T260">
            <v>0</v>
          </cell>
        </row>
        <row r="261">
          <cell r="B261">
            <v>1828200810</v>
          </cell>
          <cell r="C261" t="str">
            <v>810</v>
          </cell>
          <cell r="D261" t="str">
            <v>828200</v>
          </cell>
          <cell r="E261" t="str">
            <v>מוקדי הפעלת בית נוער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17000</v>
          </cell>
          <cell r="Q261">
            <v>8945</v>
          </cell>
          <cell r="R261">
            <v>11000</v>
          </cell>
          <cell r="S261">
            <v>0</v>
          </cell>
          <cell r="T261">
            <v>0</v>
          </cell>
        </row>
        <row r="262">
          <cell r="B262">
            <v>1828210110</v>
          </cell>
          <cell r="C262" t="str">
            <v>110</v>
          </cell>
          <cell r="D262" t="str">
            <v>828210</v>
          </cell>
          <cell r="E262" t="str">
            <v>שכר מנהל תכנית עיר ללא אלימות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101000</v>
          </cell>
          <cell r="Q262">
            <v>74694.78</v>
          </cell>
          <cell r="R262">
            <v>100000</v>
          </cell>
          <cell r="S262">
            <v>0</v>
          </cell>
          <cell r="T262">
            <v>0</v>
          </cell>
        </row>
        <row r="263">
          <cell r="B263">
            <v>1828210810</v>
          </cell>
          <cell r="C263" t="str">
            <v>810</v>
          </cell>
          <cell r="D263" t="str">
            <v>828210</v>
          </cell>
          <cell r="E263" t="str">
            <v>תוכנית עיר ללא אלימות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105000</v>
          </cell>
          <cell r="Q263">
            <v>255291</v>
          </cell>
          <cell r="R263">
            <v>300000</v>
          </cell>
          <cell r="S263">
            <v>0</v>
          </cell>
          <cell r="T263">
            <v>0</v>
          </cell>
        </row>
        <row r="264">
          <cell r="B264">
            <v>1828220650</v>
          </cell>
          <cell r="C264" t="str">
            <v>650</v>
          </cell>
          <cell r="D264" t="str">
            <v>828220</v>
          </cell>
          <cell r="E264" t="str">
            <v>פרוייקט מעשים טובים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3021.09</v>
          </cell>
          <cell r="R264">
            <v>4000</v>
          </cell>
          <cell r="S264">
            <v>0</v>
          </cell>
          <cell r="T264">
            <v>0</v>
          </cell>
        </row>
        <row r="265">
          <cell r="B265">
            <v>1828220810</v>
          </cell>
          <cell r="C265" t="str">
            <v>810</v>
          </cell>
          <cell r="D265" t="str">
            <v>828220</v>
          </cell>
          <cell r="E265" t="str">
            <v>חינוך בלתי פורמאלי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B266">
            <v>1828226110</v>
          </cell>
          <cell r="C266" t="str">
            <v>110</v>
          </cell>
          <cell r="D266" t="str">
            <v>828226</v>
          </cell>
          <cell r="E266" t="str">
            <v>אתגרים פעילויות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66531.06</v>
          </cell>
          <cell r="R266">
            <v>130000</v>
          </cell>
          <cell r="S266">
            <v>0</v>
          </cell>
          <cell r="T266">
            <v>0</v>
          </cell>
        </row>
        <row r="267">
          <cell r="B267">
            <v>1828310810</v>
          </cell>
          <cell r="C267" t="str">
            <v>810</v>
          </cell>
          <cell r="D267" t="str">
            <v>828310</v>
          </cell>
          <cell r="E267" t="str">
            <v>מלגות לסטודנטים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300000</v>
          </cell>
          <cell r="Q267">
            <v>357000</v>
          </cell>
          <cell r="R267">
            <v>357000</v>
          </cell>
          <cell r="S267">
            <v>0</v>
          </cell>
          <cell r="T267">
            <v>0</v>
          </cell>
        </row>
        <row r="268">
          <cell r="B268">
            <v>1828410810</v>
          </cell>
          <cell r="C268" t="str">
            <v>810</v>
          </cell>
          <cell r="D268" t="str">
            <v>828410</v>
          </cell>
          <cell r="E268" t="str">
            <v>מחשב לכל ילד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67000</v>
          </cell>
          <cell r="Q268">
            <v>34719</v>
          </cell>
          <cell r="R268">
            <v>35000</v>
          </cell>
          <cell r="S268">
            <v>0</v>
          </cell>
          <cell r="T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E269" t="str">
            <v>תרבות</v>
          </cell>
          <cell r="F269" t="e">
            <v>#REF!</v>
          </cell>
          <cell r="G269" t="e">
            <v>#REF!</v>
          </cell>
          <cell r="H269" t="e">
            <v>#REF!</v>
          </cell>
          <cell r="I269" t="e">
            <v>#REF!</v>
          </cell>
          <cell r="J269" t="e">
            <v>#REF!</v>
          </cell>
          <cell r="K269" t="e">
            <v>#REF!</v>
          </cell>
          <cell r="L269" t="e">
            <v>#REF!</v>
          </cell>
          <cell r="M269" t="e">
            <v>#REF!</v>
          </cell>
          <cell r="N269" t="e">
            <v>#REF!</v>
          </cell>
          <cell r="O269" t="e">
            <v>#REF!</v>
          </cell>
          <cell r="P269">
            <v>2426000</v>
          </cell>
          <cell r="Q269">
            <v>2834298.5999999996</v>
          </cell>
          <cell r="R269">
            <v>3427000</v>
          </cell>
          <cell r="S269">
            <v>0</v>
          </cell>
          <cell r="T269">
            <v>0</v>
          </cell>
        </row>
        <row r="270">
          <cell r="B270">
            <v>1829000110</v>
          </cell>
          <cell r="C270" t="str">
            <v>110</v>
          </cell>
          <cell r="D270" t="str">
            <v>829000</v>
          </cell>
          <cell r="E270" t="str">
            <v>הוצ משכורת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327000</v>
          </cell>
          <cell r="Q270">
            <v>186106.87</v>
          </cell>
          <cell r="R270">
            <v>260000</v>
          </cell>
          <cell r="S270">
            <v>0</v>
          </cell>
          <cell r="T270">
            <v>0</v>
          </cell>
        </row>
        <row r="271">
          <cell r="B271">
            <v>1829000540</v>
          </cell>
          <cell r="C271" t="str">
            <v>540</v>
          </cell>
          <cell r="D271" t="str">
            <v>829000</v>
          </cell>
          <cell r="E271" t="str">
            <v>הוצ" תקשורת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B272">
            <v>1829100432</v>
          </cell>
          <cell r="C272" t="str">
            <v>432</v>
          </cell>
          <cell r="D272" t="str">
            <v>829100</v>
          </cell>
          <cell r="E272" t="str">
            <v>הוצ" מים מגרש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133500</v>
          </cell>
          <cell r="S272">
            <v>0</v>
          </cell>
          <cell r="T272">
            <v>0</v>
          </cell>
        </row>
        <row r="273">
          <cell r="B273">
            <v>1829100740</v>
          </cell>
          <cell r="C273" t="str">
            <v>740</v>
          </cell>
          <cell r="D273" t="str">
            <v>829100</v>
          </cell>
          <cell r="E273" t="str">
            <v>אביזרי עזר למגרש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B274">
            <v>1829100750</v>
          </cell>
          <cell r="C274" t="str">
            <v>750</v>
          </cell>
          <cell r="D274" t="str">
            <v>829100</v>
          </cell>
          <cell r="E274" t="str">
            <v>מתקני ספורט ומגרש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142000</v>
          </cell>
          <cell r="Q274">
            <v>110709</v>
          </cell>
          <cell r="R274">
            <v>133000</v>
          </cell>
          <cell r="S274">
            <v>0</v>
          </cell>
          <cell r="T274">
            <v>0</v>
          </cell>
        </row>
        <row r="275">
          <cell r="B275">
            <v>1829100780</v>
          </cell>
          <cell r="C275" t="str">
            <v>780</v>
          </cell>
          <cell r="D275" t="str">
            <v>829100</v>
          </cell>
          <cell r="E275" t="str">
            <v>הסעות ספורט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B276">
            <v>1829100810</v>
          </cell>
          <cell r="C276" t="str">
            <v>810</v>
          </cell>
          <cell r="D276" t="str">
            <v>829100</v>
          </cell>
          <cell r="E276" t="str">
            <v>תמיכות באגודות ספורט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300000</v>
          </cell>
          <cell r="Q276">
            <v>225000</v>
          </cell>
          <cell r="R276">
            <v>300000</v>
          </cell>
          <cell r="S276">
            <v>0</v>
          </cell>
          <cell r="T276">
            <v>0</v>
          </cell>
        </row>
        <row r="277">
          <cell r="B277">
            <v>1829100910</v>
          </cell>
          <cell r="C277" t="str">
            <v>910</v>
          </cell>
          <cell r="D277" t="str">
            <v>829100</v>
          </cell>
          <cell r="E277" t="str">
            <v>אולם ספואט השת" לתב"ר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B278">
            <v>1829100930</v>
          </cell>
          <cell r="C278" t="str">
            <v>930</v>
          </cell>
          <cell r="D278" t="str">
            <v>829100</v>
          </cell>
          <cell r="E278" t="str">
            <v>ציודומתקנים ספורט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40000</v>
          </cell>
          <cell r="Q278">
            <v>8661</v>
          </cell>
          <cell r="R278">
            <v>10000</v>
          </cell>
          <cell r="S278">
            <v>0</v>
          </cell>
          <cell r="T278">
            <v>0</v>
          </cell>
        </row>
        <row r="279">
          <cell r="B279">
            <v>1829200110</v>
          </cell>
          <cell r="C279" t="str">
            <v>110</v>
          </cell>
          <cell r="D279" t="str">
            <v>829200</v>
          </cell>
          <cell r="E279" t="str">
            <v>אחזקת מתקני ספורט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B280">
            <v>1829200431</v>
          </cell>
          <cell r="C280" t="str">
            <v>431</v>
          </cell>
          <cell r="D280" t="str">
            <v>829200</v>
          </cell>
          <cell r="E280" t="str">
            <v>חשמל אולם ספורט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6000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B281">
            <v>1829200521</v>
          </cell>
          <cell r="C281" t="str">
            <v>521</v>
          </cell>
          <cell r="D281" t="str">
            <v>829200</v>
          </cell>
          <cell r="E281" t="str">
            <v>השתלמות מנהלי ספורט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2000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B282">
            <v>1829300740</v>
          </cell>
          <cell r="C282" t="str">
            <v>740</v>
          </cell>
          <cell r="D282" t="str">
            <v>829300</v>
          </cell>
          <cell r="E282" t="str">
            <v>ציוד למגרש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</row>
        <row r="283">
          <cell r="B283">
            <v>1829300810</v>
          </cell>
          <cell r="C283" t="str">
            <v>810</v>
          </cell>
          <cell r="D283" t="str">
            <v>829300</v>
          </cell>
          <cell r="E283" t="str">
            <v>פעולות     ספורט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24000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E284" t="str">
            <v>ספורט</v>
          </cell>
          <cell r="F284" t="e">
            <v>#REF!</v>
          </cell>
          <cell r="G284" t="e">
            <v>#REF!</v>
          </cell>
          <cell r="H284" t="e">
            <v>#REF!</v>
          </cell>
          <cell r="I284" t="e">
            <v>#REF!</v>
          </cell>
          <cell r="J284" t="e">
            <v>#REF!</v>
          </cell>
          <cell r="K284" t="e">
            <v>#REF!</v>
          </cell>
          <cell r="L284" t="e">
            <v>#REF!</v>
          </cell>
          <cell r="M284" t="e">
            <v>#REF!</v>
          </cell>
          <cell r="N284" t="e">
            <v>#REF!</v>
          </cell>
          <cell r="O284" t="e">
            <v>#REF!</v>
          </cell>
          <cell r="P284">
            <v>841000</v>
          </cell>
          <cell r="Q284">
            <v>530476.87</v>
          </cell>
          <cell r="R284">
            <v>836500</v>
          </cell>
          <cell r="S284">
            <v>0</v>
          </cell>
          <cell r="T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E285" t="str">
            <v>סה"כ תרבות וספורט</v>
          </cell>
          <cell r="F285" t="e">
            <v>#REF!</v>
          </cell>
          <cell r="G285" t="e">
            <v>#REF!</v>
          </cell>
          <cell r="H285" t="e">
            <v>#REF!</v>
          </cell>
          <cell r="I285" t="e">
            <v>#REF!</v>
          </cell>
          <cell r="J285" t="e">
            <v>#REF!</v>
          </cell>
          <cell r="K285" t="e">
            <v>#REF!</v>
          </cell>
          <cell r="L285" t="e">
            <v>#REF!</v>
          </cell>
          <cell r="M285" t="e">
            <v>#REF!</v>
          </cell>
          <cell r="N285" t="e">
            <v>#REF!</v>
          </cell>
          <cell r="O285" t="e">
            <v>#REF!</v>
          </cell>
          <cell r="P285">
            <v>3267000</v>
          </cell>
          <cell r="Q285">
            <v>3364775.4699999997</v>
          </cell>
          <cell r="R285">
            <v>4263500</v>
          </cell>
          <cell r="S285">
            <v>0</v>
          </cell>
          <cell r="T285">
            <v>0</v>
          </cell>
        </row>
        <row r="286">
          <cell r="B286">
            <v>0</v>
          </cell>
          <cell r="C286" t="str">
            <v>בריאות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B287">
            <v>1832400110</v>
          </cell>
          <cell r="C287" t="str">
            <v>110</v>
          </cell>
          <cell r="D287" t="str">
            <v>832400</v>
          </cell>
          <cell r="E287" t="str">
            <v>משכורות ט.חלב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66000</v>
          </cell>
          <cell r="Q287">
            <v>51505.04</v>
          </cell>
          <cell r="R287">
            <v>69000</v>
          </cell>
          <cell r="S287">
            <v>0</v>
          </cell>
          <cell r="T287">
            <v>0</v>
          </cell>
        </row>
        <row r="288">
          <cell r="B288">
            <v>1832400420</v>
          </cell>
          <cell r="C288" t="str">
            <v>420</v>
          </cell>
          <cell r="D288" t="str">
            <v>832400</v>
          </cell>
          <cell r="E288" t="str">
            <v>מרפאת שיניים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B289">
            <v>1832400431</v>
          </cell>
          <cell r="C289" t="str">
            <v>431</v>
          </cell>
          <cell r="D289" t="str">
            <v>832400</v>
          </cell>
          <cell r="E289" t="str">
            <v>חשמל אם וילד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13000</v>
          </cell>
          <cell r="Q289">
            <v>5487.61</v>
          </cell>
          <cell r="R289">
            <v>7000</v>
          </cell>
          <cell r="S289">
            <v>0</v>
          </cell>
          <cell r="T289">
            <v>0</v>
          </cell>
        </row>
        <row r="290">
          <cell r="B290">
            <v>1832400540</v>
          </cell>
          <cell r="C290" t="str">
            <v>540</v>
          </cell>
          <cell r="D290" t="str">
            <v>832400</v>
          </cell>
          <cell r="E290" t="str">
            <v>טלפון לתחנת ב.השן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6390.44</v>
          </cell>
          <cell r="R290">
            <v>8000</v>
          </cell>
          <cell r="S290">
            <v>0</v>
          </cell>
          <cell r="T290">
            <v>0</v>
          </cell>
        </row>
        <row r="291">
          <cell r="B291">
            <v>1832400780</v>
          </cell>
          <cell r="C291" t="str">
            <v>780</v>
          </cell>
          <cell r="D291" t="str">
            <v>832400</v>
          </cell>
          <cell r="E291" t="str">
            <v>טיפת חלב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B292">
            <v>1832400930</v>
          </cell>
          <cell r="C292" t="str">
            <v>930</v>
          </cell>
          <cell r="D292" t="str">
            <v>832400</v>
          </cell>
          <cell r="E292" t="str">
            <v>ציוד יסודי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B293">
            <v>1832400950</v>
          </cell>
          <cell r="C293" t="str">
            <v>950</v>
          </cell>
          <cell r="D293" t="str">
            <v>832400</v>
          </cell>
          <cell r="E293" t="str">
            <v>תכנון מרכז _ת.בריאות ומשפ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B294">
            <v>1836200810</v>
          </cell>
          <cell r="C294" t="str">
            <v>810</v>
          </cell>
          <cell r="D294" t="str">
            <v>836200</v>
          </cell>
          <cell r="E294" t="str">
            <v>נט"ן השתתפות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34000</v>
          </cell>
          <cell r="Q294">
            <v>25900.5</v>
          </cell>
          <cell r="R294">
            <v>32000</v>
          </cell>
          <cell r="S294">
            <v>0</v>
          </cell>
          <cell r="T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E295" t="str">
            <v>סה"כ בריאות</v>
          </cell>
          <cell r="F295" t="e">
            <v>#REF!</v>
          </cell>
          <cell r="G295" t="e">
            <v>#REF!</v>
          </cell>
          <cell r="H295" t="e">
            <v>#REF!</v>
          </cell>
          <cell r="I295" t="e">
            <v>#REF!</v>
          </cell>
          <cell r="J295" t="e">
            <v>#REF!</v>
          </cell>
          <cell r="K295" t="e">
            <v>#REF!</v>
          </cell>
          <cell r="L295" t="e">
            <v>#REF!</v>
          </cell>
          <cell r="M295" t="e">
            <v>#REF!</v>
          </cell>
          <cell r="N295" t="e">
            <v>#REF!</v>
          </cell>
          <cell r="O295" t="e">
            <v>#REF!</v>
          </cell>
          <cell r="P295">
            <v>113000</v>
          </cell>
          <cell r="Q295">
            <v>89283.59</v>
          </cell>
          <cell r="R295">
            <v>116000</v>
          </cell>
          <cell r="S295">
            <v>0</v>
          </cell>
          <cell r="T295">
            <v>0</v>
          </cell>
        </row>
        <row r="296">
          <cell r="B296">
            <v>0</v>
          </cell>
          <cell r="C296" t="str">
            <v>מחלקת רווחה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B297">
            <v>1841000110</v>
          </cell>
          <cell r="C297" t="str">
            <v>110</v>
          </cell>
          <cell r="D297" t="str">
            <v>841000</v>
          </cell>
          <cell r="E297" t="str">
            <v>משכורת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B298">
            <v>1841000420</v>
          </cell>
          <cell r="C298" t="str">
            <v>420</v>
          </cell>
          <cell r="D298" t="str">
            <v>841000</v>
          </cell>
          <cell r="E298" t="str">
            <v>אחזקת מבני רווחה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14000</v>
          </cell>
          <cell r="Q298">
            <v>31474</v>
          </cell>
          <cell r="R298">
            <v>38000</v>
          </cell>
          <cell r="S298">
            <v>0</v>
          </cell>
          <cell r="T298">
            <v>0</v>
          </cell>
        </row>
        <row r="299">
          <cell r="B299">
            <v>1841000430</v>
          </cell>
          <cell r="C299" t="str">
            <v>430</v>
          </cell>
          <cell r="D299" t="str">
            <v>841000</v>
          </cell>
          <cell r="E299" t="str">
            <v>פעיליות בית זקנים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43000</v>
          </cell>
          <cell r="Q299">
            <v>5000</v>
          </cell>
          <cell r="R299">
            <v>6000</v>
          </cell>
          <cell r="S299">
            <v>0</v>
          </cell>
          <cell r="T299">
            <v>0</v>
          </cell>
        </row>
        <row r="300">
          <cell r="B300">
            <v>1841000521</v>
          </cell>
          <cell r="C300" t="str">
            <v>521</v>
          </cell>
          <cell r="D300" t="str">
            <v>841000</v>
          </cell>
          <cell r="E300" t="str">
            <v>השתלמיות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1700</v>
          </cell>
          <cell r="R300">
            <v>2000</v>
          </cell>
          <cell r="S300">
            <v>0</v>
          </cell>
          <cell r="T300">
            <v>0</v>
          </cell>
        </row>
        <row r="301">
          <cell r="B301">
            <v>1841000560</v>
          </cell>
          <cell r="C301" t="str">
            <v>560</v>
          </cell>
          <cell r="D301" t="str">
            <v>841000</v>
          </cell>
          <cell r="E301" t="str">
            <v>משרדיות רווחה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9000</v>
          </cell>
          <cell r="Q301">
            <v>4374</v>
          </cell>
          <cell r="R301">
            <v>5000</v>
          </cell>
          <cell r="S301">
            <v>0</v>
          </cell>
          <cell r="T301">
            <v>0</v>
          </cell>
        </row>
        <row r="302">
          <cell r="B302">
            <v>1841000750</v>
          </cell>
          <cell r="C302" t="str">
            <v>750</v>
          </cell>
          <cell r="D302" t="str">
            <v>841000</v>
          </cell>
          <cell r="E302" t="str">
            <v>שיפוצים משרדי רווחה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B303">
            <v>1841000760</v>
          </cell>
          <cell r="C303" t="str">
            <v>760</v>
          </cell>
          <cell r="D303" t="str">
            <v>841000</v>
          </cell>
          <cell r="E303" t="str">
            <v>מרכז עוצמה -יעוץ לעובדי רווחה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38000</v>
          </cell>
          <cell r="Q303">
            <v>5000</v>
          </cell>
          <cell r="R303">
            <v>6000</v>
          </cell>
          <cell r="S303">
            <v>0</v>
          </cell>
          <cell r="T303">
            <v>0</v>
          </cell>
        </row>
        <row r="304">
          <cell r="B304">
            <v>1841000770</v>
          </cell>
          <cell r="C304" t="str">
            <v>770</v>
          </cell>
          <cell r="D304" t="str">
            <v>841000</v>
          </cell>
          <cell r="E304" t="str">
            <v>סדנאות לנוער וצעירים ברווחה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32000</v>
          </cell>
          <cell r="Q304">
            <v>39646</v>
          </cell>
          <cell r="R304">
            <v>48000</v>
          </cell>
          <cell r="S304">
            <v>0</v>
          </cell>
          <cell r="T304">
            <v>0</v>
          </cell>
        </row>
        <row r="305">
          <cell r="B305">
            <v>1841000780</v>
          </cell>
          <cell r="C305" t="str">
            <v>780</v>
          </cell>
          <cell r="D305" t="str">
            <v>841000</v>
          </cell>
          <cell r="E305" t="str">
            <v>שונות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B306">
            <v>1841100810</v>
          </cell>
          <cell r="C306" t="str">
            <v>810</v>
          </cell>
          <cell r="D306" t="str">
            <v>841100</v>
          </cell>
          <cell r="E306" t="str">
            <v>הו"ארגוניות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B307">
            <v>1841200810</v>
          </cell>
          <cell r="C307" t="str">
            <v>810</v>
          </cell>
          <cell r="D307" t="str">
            <v>841200</v>
          </cell>
          <cell r="E307" t="str">
            <v>הסעות רווחה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81000</v>
          </cell>
          <cell r="Q307">
            <v>21528</v>
          </cell>
          <cell r="R307">
            <v>35000</v>
          </cell>
          <cell r="S307">
            <v>0</v>
          </cell>
          <cell r="T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E308" t="str">
            <v>הנהלה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  <cell r="J308" t="e">
            <v>#REF!</v>
          </cell>
          <cell r="K308" t="e">
            <v>#REF!</v>
          </cell>
          <cell r="L308" t="e">
            <v>#REF!</v>
          </cell>
          <cell r="M308" t="e">
            <v>#REF!</v>
          </cell>
          <cell r="N308" t="e">
            <v>#REF!</v>
          </cell>
          <cell r="O308" t="e">
            <v>#REF!</v>
          </cell>
          <cell r="P308">
            <v>217000</v>
          </cell>
          <cell r="Q308">
            <v>108722</v>
          </cell>
          <cell r="R308">
            <v>140000</v>
          </cell>
          <cell r="S308">
            <v>0</v>
          </cell>
          <cell r="T308">
            <v>0</v>
          </cell>
        </row>
        <row r="309">
          <cell r="B309">
            <v>1842000110</v>
          </cell>
          <cell r="C309" t="str">
            <v>110</v>
          </cell>
          <cell r="D309" t="str">
            <v>842000</v>
          </cell>
          <cell r="E309" t="str">
            <v>משכורות רווחה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1776000</v>
          </cell>
          <cell r="Q309">
            <v>1462389.21</v>
          </cell>
          <cell r="R309">
            <v>2100000</v>
          </cell>
          <cell r="S309">
            <v>0</v>
          </cell>
          <cell r="T309">
            <v>0</v>
          </cell>
        </row>
        <row r="310">
          <cell r="B310">
            <v>1842000540</v>
          </cell>
          <cell r="C310" t="str">
            <v>540</v>
          </cell>
          <cell r="D310" t="str">
            <v>842000</v>
          </cell>
          <cell r="E310" t="str">
            <v>טלפון לשכת רווחה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14000</v>
          </cell>
          <cell r="Q310">
            <v>11076.94</v>
          </cell>
          <cell r="R310">
            <v>14000</v>
          </cell>
          <cell r="S310">
            <v>0</v>
          </cell>
          <cell r="T310">
            <v>0</v>
          </cell>
        </row>
        <row r="311">
          <cell r="B311">
            <v>1842200840</v>
          </cell>
          <cell r="C311" t="str">
            <v>840</v>
          </cell>
          <cell r="D311" t="str">
            <v>842200</v>
          </cell>
          <cell r="E311" t="str">
            <v>משפחות במצוקה קהילתית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157000</v>
          </cell>
          <cell r="Q311">
            <v>213260</v>
          </cell>
          <cell r="R311">
            <v>256000</v>
          </cell>
          <cell r="S311">
            <v>0</v>
          </cell>
          <cell r="T311">
            <v>0</v>
          </cell>
        </row>
        <row r="312">
          <cell r="B312">
            <v>1842210810</v>
          </cell>
          <cell r="C312" t="str">
            <v>810</v>
          </cell>
          <cell r="D312" t="str">
            <v>842210</v>
          </cell>
          <cell r="E312" t="str">
            <v>קייטנת אמהות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B313">
            <v>1842210840</v>
          </cell>
          <cell r="C313" t="str">
            <v>840</v>
          </cell>
          <cell r="D313" t="str">
            <v>842210</v>
          </cell>
          <cell r="E313" t="str">
            <v>סיוע למשפחות עם ילדים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292000</v>
          </cell>
          <cell r="Q313">
            <v>253802</v>
          </cell>
          <cell r="R313">
            <v>305000</v>
          </cell>
          <cell r="S313">
            <v>0</v>
          </cell>
          <cell r="T313">
            <v>0</v>
          </cell>
        </row>
        <row r="314">
          <cell r="B314">
            <v>1842220810</v>
          </cell>
          <cell r="C314" t="str">
            <v>810</v>
          </cell>
          <cell r="D314" t="str">
            <v>842220</v>
          </cell>
          <cell r="E314" t="str">
            <v>בית חם לנערות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346000</v>
          </cell>
          <cell r="Q314">
            <v>302900</v>
          </cell>
          <cell r="R314">
            <v>364000</v>
          </cell>
          <cell r="S314">
            <v>0</v>
          </cell>
          <cell r="T314">
            <v>0</v>
          </cell>
        </row>
        <row r="315">
          <cell r="B315">
            <v>1842222510</v>
          </cell>
          <cell r="C315" t="str">
            <v>510</v>
          </cell>
          <cell r="D315" t="str">
            <v>842222</v>
          </cell>
          <cell r="E315" t="str">
            <v>צרכי משרד רווחה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702</v>
          </cell>
          <cell r="R315">
            <v>1000</v>
          </cell>
          <cell r="S315">
            <v>0</v>
          </cell>
          <cell r="T315">
            <v>0</v>
          </cell>
        </row>
        <row r="316">
          <cell r="B316">
            <v>1842222930</v>
          </cell>
          <cell r="C316" t="str">
            <v>930</v>
          </cell>
          <cell r="D316" t="str">
            <v>842222</v>
          </cell>
          <cell r="E316" t="str">
            <v>צרכי משרד רווחה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B317">
            <v>1842230810</v>
          </cell>
          <cell r="C317" t="str">
            <v>810</v>
          </cell>
          <cell r="D317" t="str">
            <v>842230</v>
          </cell>
          <cell r="E317" t="str">
            <v>מרכזי טיפול באלימות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51000</v>
          </cell>
          <cell r="Q317">
            <v>100757</v>
          </cell>
          <cell r="R317">
            <v>121000</v>
          </cell>
          <cell r="S317">
            <v>0</v>
          </cell>
          <cell r="T317">
            <v>0</v>
          </cell>
        </row>
        <row r="318">
          <cell r="B318">
            <v>1842500810</v>
          </cell>
          <cell r="C318" t="str">
            <v>810</v>
          </cell>
          <cell r="D318" t="str">
            <v>842500</v>
          </cell>
          <cell r="E318" t="str">
            <v>סמך מקצועי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1000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B319">
            <v>1842510810</v>
          </cell>
          <cell r="C319" t="str">
            <v>810</v>
          </cell>
          <cell r="D319" t="str">
            <v>842510</v>
          </cell>
          <cell r="E319" t="str">
            <v>מכון וינגנט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8000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B320">
            <v>1842600410</v>
          </cell>
          <cell r="C320" t="str">
            <v>410</v>
          </cell>
          <cell r="D320" t="str">
            <v>842600</v>
          </cell>
          <cell r="E320" t="str">
            <v>שכר דירה משרד רווח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62000</v>
          </cell>
          <cell r="Q320">
            <v>74400</v>
          </cell>
          <cell r="R320">
            <v>90000</v>
          </cell>
          <cell r="S320">
            <v>0</v>
          </cell>
          <cell r="T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E321" t="str">
            <v>טיפול במשפחה</v>
          </cell>
          <cell r="F321" t="e">
            <v>#REF!</v>
          </cell>
          <cell r="G321" t="e">
            <v>#REF!</v>
          </cell>
          <cell r="H321" t="e">
            <v>#REF!</v>
          </cell>
          <cell r="I321" t="e">
            <v>#REF!</v>
          </cell>
          <cell r="J321" t="e">
            <v>#REF!</v>
          </cell>
          <cell r="K321" t="e">
            <v>#REF!</v>
          </cell>
          <cell r="L321" t="e">
            <v>#REF!</v>
          </cell>
          <cell r="M321" t="e">
            <v>#REF!</v>
          </cell>
          <cell r="N321" t="e">
            <v>#REF!</v>
          </cell>
          <cell r="O321" t="e">
            <v>#REF!</v>
          </cell>
          <cell r="P321">
            <v>2707000</v>
          </cell>
          <cell r="Q321">
            <v>2419287.15</v>
          </cell>
          <cell r="R321">
            <v>3251000</v>
          </cell>
          <cell r="S321">
            <v>0</v>
          </cell>
          <cell r="T321">
            <v>0</v>
          </cell>
        </row>
        <row r="322">
          <cell r="B322">
            <v>1843500810</v>
          </cell>
          <cell r="C322" t="str">
            <v>810</v>
          </cell>
          <cell r="D322" t="str">
            <v>843500</v>
          </cell>
          <cell r="E322" t="str">
            <v>רכזות משפחתונים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1499000</v>
          </cell>
          <cell r="Q322">
            <v>1311711</v>
          </cell>
          <cell r="R322">
            <v>1574000</v>
          </cell>
          <cell r="S322">
            <v>0</v>
          </cell>
          <cell r="T322">
            <v>0</v>
          </cell>
        </row>
        <row r="323">
          <cell r="B323">
            <v>1843510840</v>
          </cell>
          <cell r="C323" t="str">
            <v>840</v>
          </cell>
          <cell r="D323" t="str">
            <v>843510</v>
          </cell>
          <cell r="E323" t="str">
            <v>טיפול בילד בקהילה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424000</v>
          </cell>
          <cell r="Q323">
            <v>411418</v>
          </cell>
          <cell r="R323">
            <v>494000</v>
          </cell>
          <cell r="S323">
            <v>0</v>
          </cell>
          <cell r="T323">
            <v>0</v>
          </cell>
        </row>
        <row r="324">
          <cell r="B324">
            <v>1843800840</v>
          </cell>
          <cell r="C324" t="str">
            <v>840</v>
          </cell>
          <cell r="D324" t="str">
            <v>843800</v>
          </cell>
          <cell r="E324" t="str">
            <v>אחזקת ילדים בפנימיות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291000</v>
          </cell>
          <cell r="Q324">
            <v>200420</v>
          </cell>
          <cell r="R324">
            <v>241000</v>
          </cell>
          <cell r="S324">
            <v>0</v>
          </cell>
          <cell r="T324">
            <v>0</v>
          </cell>
        </row>
        <row r="325">
          <cell r="B325">
            <v>1843900810</v>
          </cell>
          <cell r="C325" t="str">
            <v>810</v>
          </cell>
          <cell r="D325" t="str">
            <v>843900</v>
          </cell>
          <cell r="E325" t="str">
            <v>ילדים במעון יום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B326">
            <v>1843910810</v>
          </cell>
          <cell r="C326" t="str">
            <v>810</v>
          </cell>
          <cell r="D326" t="str">
            <v>843910</v>
          </cell>
          <cell r="E326" t="str">
            <v>אומנה יומית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19000</v>
          </cell>
          <cell r="Q326">
            <v>12771</v>
          </cell>
          <cell r="R326">
            <v>15000</v>
          </cell>
          <cell r="S326">
            <v>0</v>
          </cell>
          <cell r="T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 t="str">
            <v>טיפול בילד ונוער</v>
          </cell>
          <cell r="F327" t="e">
            <v>#REF!</v>
          </cell>
          <cell r="G327" t="e">
            <v>#REF!</v>
          </cell>
          <cell r="H327" t="e">
            <v>#REF!</v>
          </cell>
          <cell r="I327" t="e">
            <v>#REF!</v>
          </cell>
          <cell r="J327" t="e">
            <v>#REF!</v>
          </cell>
          <cell r="K327" t="e">
            <v>#REF!</v>
          </cell>
          <cell r="L327" t="e">
            <v>#REF!</v>
          </cell>
          <cell r="M327" t="e">
            <v>#REF!</v>
          </cell>
          <cell r="N327" t="e">
            <v>#REF!</v>
          </cell>
          <cell r="O327" t="e">
            <v>#REF!</v>
          </cell>
          <cell r="P327">
            <v>2233000</v>
          </cell>
          <cell r="Q327">
            <v>1936320</v>
          </cell>
          <cell r="R327">
            <v>2324000</v>
          </cell>
          <cell r="S327">
            <v>0</v>
          </cell>
          <cell r="T327">
            <v>0</v>
          </cell>
        </row>
        <row r="328">
          <cell r="B328">
            <v>1844000110</v>
          </cell>
          <cell r="C328" t="str">
            <v>110</v>
          </cell>
          <cell r="D328" t="str">
            <v>844000</v>
          </cell>
          <cell r="E328" t="str">
            <v>משכורת כוללת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83000</v>
          </cell>
          <cell r="Q328">
            <v>67502.55</v>
          </cell>
          <cell r="R328">
            <v>90000</v>
          </cell>
          <cell r="S328">
            <v>0</v>
          </cell>
          <cell r="T328">
            <v>0</v>
          </cell>
        </row>
        <row r="329">
          <cell r="B329">
            <v>1844000431</v>
          </cell>
          <cell r="C329" t="str">
            <v>431</v>
          </cell>
          <cell r="D329" t="str">
            <v>844000</v>
          </cell>
          <cell r="E329" t="str">
            <v>חשמל בית הקשיש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B330">
            <v>1844000980</v>
          </cell>
          <cell r="C330" t="str">
            <v>980</v>
          </cell>
          <cell r="D330" t="str">
            <v>844000</v>
          </cell>
          <cell r="E330" t="str">
            <v>הוצ" שונות בית זקנים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B331">
            <v>1844410810</v>
          </cell>
          <cell r="C331" t="str">
            <v>810</v>
          </cell>
          <cell r="D331" t="str">
            <v>844410</v>
          </cell>
          <cell r="E331" t="str">
            <v>צרכים מיוחדים לזקן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53000</v>
          </cell>
          <cell r="Q331">
            <v>49256</v>
          </cell>
          <cell r="R331">
            <v>59000</v>
          </cell>
          <cell r="S331">
            <v>0</v>
          </cell>
          <cell r="T331">
            <v>0</v>
          </cell>
        </row>
        <row r="332">
          <cell r="B332">
            <v>1844410840</v>
          </cell>
          <cell r="C332" t="str">
            <v>840</v>
          </cell>
          <cell r="D332" t="str">
            <v>844410</v>
          </cell>
          <cell r="E332" t="str">
            <v>טיפול בזקן בקהילה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98000</v>
          </cell>
          <cell r="Q332">
            <v>79353</v>
          </cell>
          <cell r="R332">
            <v>95000</v>
          </cell>
          <cell r="S332">
            <v>0</v>
          </cell>
          <cell r="T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 t="str">
            <v>טיפול בזקן</v>
          </cell>
          <cell r="F333" t="e">
            <v>#REF!</v>
          </cell>
          <cell r="G333" t="e">
            <v>#REF!</v>
          </cell>
          <cell r="H333" t="e">
            <v>#REF!</v>
          </cell>
          <cell r="I333" t="e">
            <v>#REF!</v>
          </cell>
          <cell r="J333" t="e">
            <v>#REF!</v>
          </cell>
          <cell r="K333" t="e">
            <v>#REF!</v>
          </cell>
          <cell r="L333" t="e">
            <v>#REF!</v>
          </cell>
          <cell r="M333" t="e">
            <v>#REF!</v>
          </cell>
          <cell r="N333" t="e">
            <v>#REF!</v>
          </cell>
          <cell r="O333" t="e">
            <v>#REF!</v>
          </cell>
          <cell r="P333">
            <v>234000</v>
          </cell>
          <cell r="Q333">
            <v>196111.55</v>
          </cell>
          <cell r="R333">
            <v>244000</v>
          </cell>
          <cell r="S333">
            <v>0</v>
          </cell>
          <cell r="T333">
            <v>0</v>
          </cell>
        </row>
        <row r="334">
          <cell r="B334">
            <v>1845100840</v>
          </cell>
          <cell r="C334" t="str">
            <v>840</v>
          </cell>
          <cell r="D334" t="str">
            <v>845100</v>
          </cell>
          <cell r="E334" t="str">
            <v>סדור מפגרים במוסדות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560000</v>
          </cell>
          <cell r="Q334">
            <v>597296</v>
          </cell>
          <cell r="R334">
            <v>717000</v>
          </cell>
          <cell r="S334">
            <v>0</v>
          </cell>
          <cell r="T334">
            <v>0</v>
          </cell>
        </row>
        <row r="335">
          <cell r="B335">
            <v>1845110840</v>
          </cell>
          <cell r="C335" t="str">
            <v>840</v>
          </cell>
          <cell r="D335" t="str">
            <v>845110</v>
          </cell>
          <cell r="E335" t="str">
            <v>מפגרים במעון טיפולי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736000</v>
          </cell>
          <cell r="Q335">
            <v>551862</v>
          </cell>
          <cell r="R335">
            <v>662000</v>
          </cell>
          <cell r="S335">
            <v>0</v>
          </cell>
          <cell r="T335">
            <v>0</v>
          </cell>
        </row>
        <row r="336">
          <cell r="B336">
            <v>1845120840</v>
          </cell>
          <cell r="C336" t="str">
            <v>840</v>
          </cell>
          <cell r="D336" t="str">
            <v>845120</v>
          </cell>
          <cell r="E336" t="str">
            <v>הסעות למעון יום טיפולי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612000</v>
          </cell>
          <cell r="Q336">
            <v>552647</v>
          </cell>
          <cell r="R336">
            <v>663000</v>
          </cell>
          <cell r="S336">
            <v>0</v>
          </cell>
          <cell r="T336">
            <v>0</v>
          </cell>
        </row>
        <row r="337">
          <cell r="B337">
            <v>1845200840</v>
          </cell>
          <cell r="C337" t="str">
            <v>840</v>
          </cell>
          <cell r="D337" t="str">
            <v>845200</v>
          </cell>
          <cell r="E337" t="str">
            <v>מעשי"ם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94000</v>
          </cell>
          <cell r="Q337">
            <v>50232</v>
          </cell>
          <cell r="R337">
            <v>60000</v>
          </cell>
          <cell r="S337">
            <v>0</v>
          </cell>
          <cell r="T337">
            <v>0</v>
          </cell>
        </row>
        <row r="338">
          <cell r="B338">
            <v>1845210840</v>
          </cell>
          <cell r="C338" t="str">
            <v>840</v>
          </cell>
          <cell r="D338" t="str">
            <v>845210</v>
          </cell>
          <cell r="E338" t="str">
            <v>מפגרים במעון אמוני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B339">
            <v>1845300840</v>
          </cell>
          <cell r="C339" t="str">
            <v>840</v>
          </cell>
          <cell r="D339" t="str">
            <v>845300</v>
          </cell>
          <cell r="E339" t="str">
            <v>שרותים תומכים למפגר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3550</v>
          </cell>
          <cell r="R339">
            <v>4000</v>
          </cell>
          <cell r="S339">
            <v>0</v>
          </cell>
          <cell r="T339">
            <v>0</v>
          </cell>
        </row>
        <row r="340">
          <cell r="B340">
            <v>1845500840</v>
          </cell>
          <cell r="C340" t="str">
            <v>840</v>
          </cell>
          <cell r="D340" t="str">
            <v>845500</v>
          </cell>
          <cell r="E340" t="str">
            <v>תוכנית עם הפנים לקהילה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122000</v>
          </cell>
          <cell r="Q340">
            <v>85401</v>
          </cell>
          <cell r="R340">
            <v>103000</v>
          </cell>
          <cell r="S340">
            <v>0</v>
          </cell>
          <cell r="T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 t="str">
            <v>טיפול במפגרים</v>
          </cell>
          <cell r="F341" t="e">
            <v>#REF!</v>
          </cell>
          <cell r="G341" t="e">
            <v>#REF!</v>
          </cell>
          <cell r="H341" t="e">
            <v>#REF!</v>
          </cell>
          <cell r="I341" t="e">
            <v>#REF!</v>
          </cell>
          <cell r="J341" t="e">
            <v>#REF!</v>
          </cell>
          <cell r="K341" t="e">
            <v>#REF!</v>
          </cell>
          <cell r="L341" t="e">
            <v>#REF!</v>
          </cell>
          <cell r="M341" t="e">
            <v>#REF!</v>
          </cell>
          <cell r="N341" t="e">
            <v>#REF!</v>
          </cell>
          <cell r="O341" t="e">
            <v>#REF!</v>
          </cell>
          <cell r="P341">
            <v>2124000</v>
          </cell>
          <cell r="Q341">
            <v>1840988</v>
          </cell>
          <cell r="R341">
            <v>2209000</v>
          </cell>
          <cell r="S341">
            <v>0</v>
          </cell>
          <cell r="T341">
            <v>0</v>
          </cell>
        </row>
        <row r="342">
          <cell r="B342">
            <v>1846300840</v>
          </cell>
          <cell r="C342" t="str">
            <v>840</v>
          </cell>
          <cell r="D342" t="str">
            <v>846300</v>
          </cell>
          <cell r="E342" t="str">
            <v>דמי ליווי לעוור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13000</v>
          </cell>
          <cell r="Q342">
            <v>10714</v>
          </cell>
          <cell r="R342">
            <v>13000</v>
          </cell>
          <cell r="S342">
            <v>0</v>
          </cell>
          <cell r="T342">
            <v>0</v>
          </cell>
        </row>
        <row r="343">
          <cell r="B343">
            <v>1846310840</v>
          </cell>
          <cell r="C343" t="str">
            <v>840</v>
          </cell>
          <cell r="D343" t="str">
            <v>846310</v>
          </cell>
          <cell r="E343" t="str">
            <v>דמי תקשורת לחרשים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B344">
            <v>1846350840</v>
          </cell>
          <cell r="C344" t="str">
            <v>840</v>
          </cell>
          <cell r="D344" t="str">
            <v>846350</v>
          </cell>
          <cell r="E344" t="str">
            <v>כ"א בחינוך מיוחד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B345">
            <v>1846600840</v>
          </cell>
          <cell r="C345" t="str">
            <v>840</v>
          </cell>
          <cell r="D345" t="str">
            <v>846600</v>
          </cell>
          <cell r="E345" t="str">
            <v>מלחמה בסמים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27181</v>
          </cell>
          <cell r="R345">
            <v>33000</v>
          </cell>
          <cell r="S345">
            <v>0</v>
          </cell>
          <cell r="T345">
            <v>0</v>
          </cell>
        </row>
        <row r="346">
          <cell r="B346">
            <v>1846610810</v>
          </cell>
          <cell r="C346" t="str">
            <v>810</v>
          </cell>
          <cell r="D346" t="str">
            <v>846610</v>
          </cell>
          <cell r="E346" t="str">
            <v>מעדונית משפחתית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100000</v>
          </cell>
          <cell r="Q346">
            <v>80924</v>
          </cell>
          <cell r="R346">
            <v>97000</v>
          </cell>
          <cell r="S346">
            <v>0</v>
          </cell>
          <cell r="T346">
            <v>0</v>
          </cell>
        </row>
        <row r="347">
          <cell r="B347">
            <v>1846610840</v>
          </cell>
          <cell r="C347" t="str">
            <v>840</v>
          </cell>
          <cell r="D347" t="str">
            <v>846610</v>
          </cell>
          <cell r="E347" t="str">
            <v>מעדוניות משוטפות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13026</v>
          </cell>
          <cell r="R347">
            <v>16000</v>
          </cell>
          <cell r="S347">
            <v>0</v>
          </cell>
          <cell r="T347">
            <v>0</v>
          </cell>
        </row>
        <row r="348">
          <cell r="B348">
            <v>1846800810</v>
          </cell>
          <cell r="C348" t="str">
            <v>810</v>
          </cell>
          <cell r="D348" t="str">
            <v>846800</v>
          </cell>
          <cell r="E348" t="str">
            <v>מפעלי שיקום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17000</v>
          </cell>
          <cell r="Q348">
            <v>48160</v>
          </cell>
          <cell r="R348">
            <v>58000</v>
          </cell>
          <cell r="S348">
            <v>0</v>
          </cell>
          <cell r="T348">
            <v>0</v>
          </cell>
        </row>
        <row r="349">
          <cell r="B349">
            <v>1846800840</v>
          </cell>
          <cell r="C349" t="str">
            <v>840</v>
          </cell>
          <cell r="D349" t="str">
            <v>846800</v>
          </cell>
          <cell r="E349" t="str">
            <v>מרכזי אבחון ושיקום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217000</v>
          </cell>
          <cell r="Q349">
            <v>253325</v>
          </cell>
          <cell r="R349">
            <v>304000</v>
          </cell>
          <cell r="S349">
            <v>0</v>
          </cell>
          <cell r="T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 t="str">
            <v>שיקום הפרט</v>
          </cell>
          <cell r="F350" t="e">
            <v>#REF!</v>
          </cell>
          <cell r="G350" t="e">
            <v>#REF!</v>
          </cell>
          <cell r="H350" t="e">
            <v>#REF!</v>
          </cell>
          <cell r="I350" t="e">
            <v>#REF!</v>
          </cell>
          <cell r="J350" t="e">
            <v>#REF!</v>
          </cell>
          <cell r="K350" t="e">
            <v>#REF!</v>
          </cell>
          <cell r="L350" t="e">
            <v>#REF!</v>
          </cell>
          <cell r="M350" t="e">
            <v>#REF!</v>
          </cell>
          <cell r="N350" t="e">
            <v>#REF!</v>
          </cell>
          <cell r="O350" t="e">
            <v>#REF!</v>
          </cell>
          <cell r="P350">
            <v>347000</v>
          </cell>
          <cell r="Q350">
            <v>433330</v>
          </cell>
          <cell r="R350">
            <v>521000</v>
          </cell>
          <cell r="S350">
            <v>0</v>
          </cell>
          <cell r="T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 t="str">
            <v>סה"כ רווחה</v>
          </cell>
          <cell r="F351" t="e">
            <v>#REF!</v>
          </cell>
          <cell r="G351" t="e">
            <v>#REF!</v>
          </cell>
          <cell r="H351" t="e">
            <v>#REF!</v>
          </cell>
          <cell r="I351" t="e">
            <v>#REF!</v>
          </cell>
          <cell r="J351" t="e">
            <v>#REF!</v>
          </cell>
          <cell r="K351" t="e">
            <v>#REF!</v>
          </cell>
          <cell r="L351" t="e">
            <v>#REF!</v>
          </cell>
          <cell r="M351" t="e">
            <v>#REF!</v>
          </cell>
          <cell r="N351" t="e">
            <v>#REF!</v>
          </cell>
          <cell r="O351" t="e">
            <v>#REF!</v>
          </cell>
          <cell r="P351">
            <v>7862000</v>
          </cell>
          <cell r="Q351">
            <v>6934758.6999999993</v>
          </cell>
          <cell r="R351">
            <v>8689000</v>
          </cell>
          <cell r="S351">
            <v>0</v>
          </cell>
          <cell r="T351">
            <v>0</v>
          </cell>
        </row>
        <row r="352">
          <cell r="B352">
            <v>0</v>
          </cell>
          <cell r="C352" t="str">
            <v>דת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B353">
            <v>1850000431</v>
          </cell>
          <cell r="C353" t="str">
            <v>431</v>
          </cell>
          <cell r="D353" t="str">
            <v>850000</v>
          </cell>
          <cell r="E353" t="str">
            <v>חשמל מסגדים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96000</v>
          </cell>
          <cell r="Q353">
            <v>61587.82</v>
          </cell>
          <cell r="R353">
            <v>74000</v>
          </cell>
          <cell r="S353">
            <v>0</v>
          </cell>
          <cell r="T353">
            <v>0</v>
          </cell>
        </row>
        <row r="354">
          <cell r="B354">
            <v>1853000432</v>
          </cell>
          <cell r="C354" t="str">
            <v>432</v>
          </cell>
          <cell r="D354" t="str">
            <v>853000</v>
          </cell>
          <cell r="E354" t="str">
            <v>מים מסגדים וקברותץ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38000</v>
          </cell>
          <cell r="Q354">
            <v>0</v>
          </cell>
          <cell r="R354">
            <v>46000</v>
          </cell>
          <cell r="S354">
            <v>0</v>
          </cell>
          <cell r="T354">
            <v>0</v>
          </cell>
        </row>
        <row r="355">
          <cell r="B355">
            <v>1853000750</v>
          </cell>
          <cell r="C355" t="str">
            <v>750</v>
          </cell>
          <cell r="D355" t="str">
            <v>853000</v>
          </cell>
          <cell r="E355" t="str">
            <v>עבודות קבלניות-מסגדים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B356">
            <v>1853000810</v>
          </cell>
          <cell r="C356" t="str">
            <v>810</v>
          </cell>
          <cell r="D356" t="str">
            <v>853000</v>
          </cell>
          <cell r="E356" t="str">
            <v>תמכיה במסגדים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3000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B357">
            <v>1853000820</v>
          </cell>
          <cell r="C357" t="str">
            <v>820</v>
          </cell>
          <cell r="D357" t="str">
            <v>853000</v>
          </cell>
          <cell r="E357" t="str">
            <v>תמיכה באימאם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 t="str">
            <v>סה"כ דת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137000</v>
          </cell>
          <cell r="Q358">
            <v>61587.82</v>
          </cell>
          <cell r="R358">
            <v>120000</v>
          </cell>
          <cell r="S358">
            <v>0</v>
          </cell>
          <cell r="T358">
            <v>0</v>
          </cell>
        </row>
        <row r="359">
          <cell r="B359">
            <v>0</v>
          </cell>
          <cell r="C359" t="str">
            <v>תשלומים אחרים וחד פעמיים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B360">
            <v>1912000110</v>
          </cell>
          <cell r="C360" t="str">
            <v>110</v>
          </cell>
          <cell r="D360" t="str">
            <v>912000</v>
          </cell>
          <cell r="E360" t="str">
            <v>משכורות   כלליות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122000</v>
          </cell>
          <cell r="Q360">
            <v>30562.35</v>
          </cell>
          <cell r="R360">
            <v>41000</v>
          </cell>
          <cell r="S360">
            <v>0</v>
          </cell>
          <cell r="T360">
            <v>0</v>
          </cell>
        </row>
        <row r="361">
          <cell r="B361">
            <v>1913000540</v>
          </cell>
          <cell r="C361" t="str">
            <v>540</v>
          </cell>
          <cell r="D361" t="str">
            <v>913000</v>
          </cell>
          <cell r="E361" t="str">
            <v>הוצ" תקשורת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B362">
            <v>1913000732</v>
          </cell>
          <cell r="C362" t="str">
            <v>732</v>
          </cell>
          <cell r="D362" t="str">
            <v>913000</v>
          </cell>
          <cell r="E362" t="str">
            <v>תקונים וח-ח רכב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14000</v>
          </cell>
          <cell r="Q362">
            <v>7348.9</v>
          </cell>
          <cell r="R362">
            <v>9000</v>
          </cell>
          <cell r="S362">
            <v>0</v>
          </cell>
          <cell r="T362">
            <v>0</v>
          </cell>
        </row>
        <row r="363">
          <cell r="B363">
            <v>1913100720</v>
          </cell>
          <cell r="C363" t="str">
            <v>720</v>
          </cell>
          <cell r="D363" t="str">
            <v>913100</v>
          </cell>
          <cell r="E363" t="str">
            <v>קנית ממים ממקורות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3276000</v>
          </cell>
          <cell r="Q363">
            <v>2427451.65</v>
          </cell>
          <cell r="R363">
            <v>2950000</v>
          </cell>
          <cell r="S363">
            <v>0</v>
          </cell>
          <cell r="T363">
            <v>0</v>
          </cell>
        </row>
        <row r="364">
          <cell r="B364">
            <v>1913200110</v>
          </cell>
          <cell r="C364" t="str">
            <v>110</v>
          </cell>
          <cell r="D364" t="str">
            <v>913200</v>
          </cell>
          <cell r="E364" t="str">
            <v>משכורות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196000</v>
          </cell>
          <cell r="Q364">
            <v>137636.68</v>
          </cell>
          <cell r="R364">
            <v>198000</v>
          </cell>
          <cell r="S364">
            <v>0</v>
          </cell>
          <cell r="T364">
            <v>0</v>
          </cell>
        </row>
        <row r="365">
          <cell r="B365">
            <v>1913200431</v>
          </cell>
          <cell r="C365" t="str">
            <v>431</v>
          </cell>
          <cell r="D365" t="str">
            <v>913200</v>
          </cell>
          <cell r="E365" t="str">
            <v>חשמל מ.מים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79000</v>
          </cell>
          <cell r="Q365">
            <v>57602.96</v>
          </cell>
          <cell r="R365">
            <v>69000</v>
          </cell>
          <cell r="S365">
            <v>0</v>
          </cell>
          <cell r="T365">
            <v>0</v>
          </cell>
        </row>
        <row r="366">
          <cell r="B366">
            <v>1913200720</v>
          </cell>
          <cell r="C366" t="str">
            <v>720</v>
          </cell>
          <cell r="D366" t="str">
            <v>913200</v>
          </cell>
          <cell r="E366" t="str">
            <v>קרן שיקום צנרת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B367">
            <v>1913200731</v>
          </cell>
          <cell r="C367" t="str">
            <v>731</v>
          </cell>
          <cell r="D367" t="str">
            <v>913200</v>
          </cell>
          <cell r="E367" t="str">
            <v>דלק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8000</v>
          </cell>
          <cell r="Q367">
            <v>19172.05</v>
          </cell>
          <cell r="R367">
            <v>23000</v>
          </cell>
          <cell r="S367">
            <v>0</v>
          </cell>
          <cell r="T367">
            <v>0</v>
          </cell>
        </row>
        <row r="368">
          <cell r="B368">
            <v>1913200750</v>
          </cell>
          <cell r="C368" t="str">
            <v>750</v>
          </cell>
          <cell r="D368" t="str">
            <v>913200</v>
          </cell>
          <cell r="E368" t="str">
            <v>אחזקת מערכת מים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148000</v>
          </cell>
          <cell r="Q368">
            <v>67623.45</v>
          </cell>
          <cell r="R368">
            <v>81000</v>
          </cell>
          <cell r="S368">
            <v>0</v>
          </cell>
          <cell r="T368">
            <v>0</v>
          </cell>
        </row>
        <row r="369">
          <cell r="B369">
            <v>1913200910</v>
          </cell>
          <cell r="C369" t="str">
            <v>910</v>
          </cell>
          <cell r="D369" t="str">
            <v>913200</v>
          </cell>
          <cell r="E369" t="str">
            <v>השתתפות בתב"ר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B370">
            <v>1913200930</v>
          </cell>
          <cell r="C370" t="str">
            <v>930</v>
          </cell>
          <cell r="D370" t="str">
            <v>913200</v>
          </cell>
          <cell r="E370" t="str">
            <v>רכישת ציוד יסודי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B371">
            <v>1913300731</v>
          </cell>
          <cell r="C371" t="str">
            <v>731</v>
          </cell>
          <cell r="D371" t="str">
            <v>913300</v>
          </cell>
          <cell r="E371" t="str">
            <v>הוצ עודפת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15000</v>
          </cell>
          <cell r="Q371">
            <v>13200</v>
          </cell>
          <cell r="R371">
            <v>16000</v>
          </cell>
          <cell r="S371">
            <v>0</v>
          </cell>
          <cell r="T371">
            <v>0</v>
          </cell>
        </row>
        <row r="372">
          <cell r="B372">
            <v>1970000110</v>
          </cell>
          <cell r="C372" t="str">
            <v>110</v>
          </cell>
          <cell r="D372" t="str">
            <v>970000</v>
          </cell>
          <cell r="E372" t="str">
            <v>הוצ" משכורת / תיעול ויקוז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137000</v>
          </cell>
          <cell r="Q372">
            <v>132016.56</v>
          </cell>
          <cell r="R372">
            <v>192000</v>
          </cell>
          <cell r="S372">
            <v>0</v>
          </cell>
          <cell r="T372">
            <v>0</v>
          </cell>
        </row>
        <row r="373">
          <cell r="B373">
            <v>1973000431</v>
          </cell>
          <cell r="C373" t="str">
            <v>431</v>
          </cell>
          <cell r="D373" t="str">
            <v>973000</v>
          </cell>
          <cell r="E373" t="str">
            <v>חשמל מכון שאיבה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18000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B374">
            <v>1973000440</v>
          </cell>
          <cell r="C374" t="str">
            <v>440</v>
          </cell>
          <cell r="D374" t="str">
            <v>973000</v>
          </cell>
          <cell r="E374" t="str">
            <v>ביטוחים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27000</v>
          </cell>
          <cell r="Q374">
            <v>22132</v>
          </cell>
          <cell r="R374">
            <v>22000</v>
          </cell>
          <cell r="S374">
            <v>0</v>
          </cell>
          <cell r="T374">
            <v>0</v>
          </cell>
        </row>
        <row r="375">
          <cell r="B375">
            <v>1973000691</v>
          </cell>
          <cell r="C375" t="str">
            <v>691</v>
          </cell>
          <cell r="D375" t="str">
            <v>973000</v>
          </cell>
          <cell r="E375" t="str">
            <v>קרן ביוב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9000</v>
          </cell>
          <cell r="Q375">
            <v>6561.3</v>
          </cell>
          <cell r="R375">
            <v>8000</v>
          </cell>
          <cell r="S375">
            <v>0</v>
          </cell>
          <cell r="T375">
            <v>0</v>
          </cell>
        </row>
        <row r="376">
          <cell r="B376">
            <v>1973000692</v>
          </cell>
          <cell r="C376" t="str">
            <v>692</v>
          </cell>
          <cell r="D376" t="str">
            <v>973000</v>
          </cell>
          <cell r="E376" t="str">
            <v>ריבית ביוב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6000</v>
          </cell>
          <cell r="Q376">
            <v>4046.99</v>
          </cell>
          <cell r="R376">
            <v>5000</v>
          </cell>
          <cell r="S376">
            <v>0</v>
          </cell>
          <cell r="T376">
            <v>0</v>
          </cell>
        </row>
        <row r="377">
          <cell r="B377">
            <v>1973000693</v>
          </cell>
          <cell r="C377" t="str">
            <v>693</v>
          </cell>
          <cell r="D377" t="str">
            <v>973000</v>
          </cell>
          <cell r="E377" t="str">
            <v>הצמדה ביוב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1000</v>
          </cell>
          <cell r="Q377">
            <v>961.15</v>
          </cell>
          <cell r="R377">
            <v>2000</v>
          </cell>
          <cell r="S377">
            <v>0</v>
          </cell>
          <cell r="T377">
            <v>0</v>
          </cell>
        </row>
        <row r="378">
          <cell r="B378">
            <v>1973000750</v>
          </cell>
          <cell r="C378" t="str">
            <v>750</v>
          </cell>
          <cell r="D378" t="str">
            <v>973000</v>
          </cell>
          <cell r="E378" t="str">
            <v>אחזקת מכון שאיבה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201000</v>
          </cell>
          <cell r="Q378">
            <v>134723</v>
          </cell>
          <cell r="R378">
            <v>201000</v>
          </cell>
          <cell r="S378">
            <v>0</v>
          </cell>
          <cell r="T378">
            <v>0</v>
          </cell>
        </row>
        <row r="379">
          <cell r="B379">
            <v>1973000760</v>
          </cell>
          <cell r="C379" t="str">
            <v>760</v>
          </cell>
          <cell r="D379" t="str">
            <v>973000</v>
          </cell>
          <cell r="E379" t="str">
            <v>מט"ש מעיין צבי אחזקה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B380">
            <v>1973000810</v>
          </cell>
          <cell r="C380" t="str">
            <v>810</v>
          </cell>
          <cell r="D380" t="str">
            <v>973000</v>
          </cell>
          <cell r="E380" t="str">
            <v>מט"ש מעיין צבי אחזקה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650000</v>
          </cell>
          <cell r="Q380">
            <v>100000</v>
          </cell>
          <cell r="R380">
            <v>650000</v>
          </cell>
          <cell r="S380">
            <v>0</v>
          </cell>
          <cell r="T380">
            <v>0</v>
          </cell>
        </row>
        <row r="381">
          <cell r="B381">
            <v>1973000930</v>
          </cell>
          <cell r="C381" t="str">
            <v>930</v>
          </cell>
          <cell r="D381" t="str">
            <v>973000</v>
          </cell>
          <cell r="E381" t="str">
            <v>ציוד יסודי-מערכת ביוב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-100000</v>
          </cell>
          <cell r="R381">
            <v>0</v>
          </cell>
          <cell r="S381">
            <v>0</v>
          </cell>
          <cell r="T381">
            <v>0</v>
          </cell>
        </row>
        <row r="382">
          <cell r="B382">
            <v>1973100750</v>
          </cell>
          <cell r="C382" t="str">
            <v>750</v>
          </cell>
          <cell r="D382" t="str">
            <v>973100</v>
          </cell>
          <cell r="E382" t="str">
            <v>תיקונים קווי ביוב פנימיים וחיב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B383">
            <v>1992000091</v>
          </cell>
          <cell r="C383" t="str">
            <v>091</v>
          </cell>
          <cell r="D383" t="str">
            <v>992000</v>
          </cell>
          <cell r="E383" t="str">
            <v>הוצאות חד פעמיות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B384">
            <v>1992000910</v>
          </cell>
          <cell r="C384" t="str">
            <v>910</v>
          </cell>
          <cell r="D384" t="str">
            <v>992000</v>
          </cell>
          <cell r="E384" t="str">
            <v>הוצ" ח"פ והעברות לתבר"ם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B385">
            <v>1992000960</v>
          </cell>
          <cell r="C385" t="str">
            <v>960</v>
          </cell>
          <cell r="D385" t="str">
            <v>992000</v>
          </cell>
          <cell r="E385" t="str">
            <v>הוצ" מותנות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1689000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B386">
            <v>1992000991</v>
          </cell>
          <cell r="C386" t="str">
            <v>991</v>
          </cell>
          <cell r="D386" t="str">
            <v>992000</v>
          </cell>
          <cell r="E386" t="str">
            <v>הוצאות חד פעמיות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B387">
            <v>1995000860</v>
          </cell>
          <cell r="C387" t="str">
            <v>860</v>
          </cell>
          <cell r="D387" t="str">
            <v>995000</v>
          </cell>
          <cell r="E387" t="str">
            <v>הנחות ממסים לפי חוק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2556000</v>
          </cell>
          <cell r="Q387">
            <v>2800000</v>
          </cell>
          <cell r="R387">
            <v>3360000</v>
          </cell>
          <cell r="S387">
            <v>0</v>
          </cell>
          <cell r="T387">
            <v>0</v>
          </cell>
        </row>
        <row r="388">
          <cell r="B388">
            <v>1998000115</v>
          </cell>
          <cell r="C388" t="str">
            <v>115</v>
          </cell>
          <cell r="D388" t="str">
            <v>998000</v>
          </cell>
          <cell r="E388" t="str">
            <v>תוספות אחרות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B389">
            <v>0</v>
          </cell>
          <cell r="C389">
            <v>0</v>
          </cell>
          <cell r="D389">
            <v>0</v>
          </cell>
          <cell r="E389" t="str">
            <v>סה"כ תשלומים אחרים וחד פעמיים</v>
          </cell>
          <cell r="F389" t="e">
            <v>#REF!</v>
          </cell>
          <cell r="G389" t="e">
            <v>#REF!</v>
          </cell>
          <cell r="H389" t="e">
            <v>#REF!</v>
          </cell>
          <cell r="I389" t="e">
            <v>#REF!</v>
          </cell>
          <cell r="J389" t="e">
            <v>#REF!</v>
          </cell>
          <cell r="K389" t="e">
            <v>#REF!</v>
          </cell>
          <cell r="L389" t="e">
            <v>#REF!</v>
          </cell>
          <cell r="M389" t="e">
            <v>#REF!</v>
          </cell>
          <cell r="N389" t="e">
            <v>#REF!</v>
          </cell>
          <cell r="O389" t="e">
            <v>#REF!</v>
          </cell>
          <cell r="P389">
            <v>9152000</v>
          </cell>
          <cell r="Q389">
            <v>5861039.04</v>
          </cell>
          <cell r="R389">
            <v>7827000</v>
          </cell>
          <cell r="S389">
            <v>0</v>
          </cell>
          <cell r="T389">
            <v>0</v>
          </cell>
        </row>
        <row r="390">
          <cell r="B390">
            <v>0</v>
          </cell>
          <cell r="C390">
            <v>0</v>
          </cell>
          <cell r="D390">
            <v>0</v>
          </cell>
          <cell r="E390" t="str">
            <v>סה"כ תשלומים</v>
          </cell>
          <cell r="F390" t="e">
            <v>#REF!</v>
          </cell>
          <cell r="G390" t="e">
            <v>#REF!</v>
          </cell>
          <cell r="H390" t="e">
            <v>#REF!</v>
          </cell>
          <cell r="I390" t="e">
            <v>#REF!</v>
          </cell>
          <cell r="J390" t="e">
            <v>#REF!</v>
          </cell>
          <cell r="K390" t="e">
            <v>#REF!</v>
          </cell>
          <cell r="L390" t="e">
            <v>#REF!</v>
          </cell>
          <cell r="M390" t="e">
            <v>#REF!</v>
          </cell>
          <cell r="N390" t="e">
            <v>#REF!</v>
          </cell>
          <cell r="O390" t="e">
            <v>#REF!</v>
          </cell>
          <cell r="P390">
            <v>62584000</v>
          </cell>
          <cell r="Q390">
            <v>54381114.399999999</v>
          </cell>
          <cell r="R390">
            <v>71088500</v>
          </cell>
          <cell r="S390">
            <v>0</v>
          </cell>
          <cell r="T390">
            <v>0</v>
          </cell>
        </row>
        <row r="391">
          <cell r="B391">
            <v>0</v>
          </cell>
          <cell r="C391">
            <v>0</v>
          </cell>
          <cell r="D391">
            <v>0</v>
          </cell>
          <cell r="E391" t="str">
            <v>עודף / גירעון</v>
          </cell>
          <cell r="F391" t="e">
            <v>#REF!</v>
          </cell>
          <cell r="G391" t="e">
            <v>#REF!</v>
          </cell>
          <cell r="H391" t="e">
            <v>#REF!</v>
          </cell>
          <cell r="I391" t="e">
            <v>#REF!</v>
          </cell>
          <cell r="J391">
            <v>0</v>
          </cell>
          <cell r="K391">
            <v>0</v>
          </cell>
          <cell r="L391" t="e">
            <v>#REF!</v>
          </cell>
          <cell r="M391" t="e">
            <v>#REF!</v>
          </cell>
          <cell r="N391" t="e">
            <v>#REF!</v>
          </cell>
          <cell r="O391" t="e">
            <v>#N/A</v>
          </cell>
          <cell r="P391">
            <v>0</v>
          </cell>
          <cell r="Q391">
            <v>4905061.5500000045</v>
          </cell>
          <cell r="R391">
            <v>-0.24799999594688416</v>
          </cell>
          <cell r="S391">
            <v>0</v>
          </cell>
          <cell r="T391">
            <v>0</v>
          </cell>
        </row>
        <row r="392">
          <cell r="T392" t="str">
            <v>לעומת</v>
          </cell>
        </row>
        <row r="393">
          <cell r="H393" t="e">
            <v>#REF!</v>
          </cell>
        </row>
        <row r="395">
          <cell r="H395" t="str">
            <v>שכר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</row>
        <row r="396">
          <cell r="H396">
            <v>16</v>
          </cell>
          <cell r="I396">
            <v>755642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</row>
        <row r="397">
          <cell r="H397">
            <v>20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</row>
        <row r="398">
          <cell r="H398">
            <v>21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</row>
        <row r="399"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</row>
        <row r="400">
          <cell r="H400" t="str">
            <v>סה"כ שכר</v>
          </cell>
          <cell r="I400">
            <v>755642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0"/>
  <sheetViews>
    <sheetView rightToLeft="1" view="pageBreakPreview" zoomScaleNormal="100" zoomScaleSheetLayoutView="100" workbookViewId="0">
      <selection activeCell="AS383" sqref="AS383"/>
    </sheetView>
  </sheetViews>
  <sheetFormatPr defaultRowHeight="15" customHeight="1"/>
  <cols>
    <col min="1" max="1" width="10.875" bestFit="1" customWidth="1"/>
    <col min="2" max="2" width="4.625" customWidth="1"/>
    <col min="3" max="3" width="6.125" customWidth="1"/>
    <col min="4" max="4" width="26" customWidth="1"/>
    <col min="5" max="5" width="12.625" hidden="1" customWidth="1"/>
    <col min="6" max="6" width="12" hidden="1" customWidth="1"/>
    <col min="7" max="7" width="13.875" hidden="1" customWidth="1"/>
    <col min="8" max="8" width="11.875" hidden="1" customWidth="1"/>
    <col min="9" max="10" width="9.625" hidden="1" customWidth="1"/>
    <col min="11" max="11" width="10.5" hidden="1" customWidth="1"/>
    <col min="12" max="14" width="9.625" hidden="1" customWidth="1"/>
    <col min="15" max="15" width="9.5" customWidth="1"/>
    <col min="16" max="16" width="13.5" hidden="1" customWidth="1"/>
    <col min="17" max="17" width="11.75" customWidth="1"/>
    <col min="18" max="18" width="7.375" style="154" hidden="1" customWidth="1"/>
    <col min="19" max="19" width="9.25" style="155" hidden="1" customWidth="1"/>
    <col min="20" max="20" width="10.125" style="155" hidden="1" customWidth="1"/>
    <col min="21" max="28" width="0" hidden="1" customWidth="1"/>
    <col min="29" max="29" width="13.125" style="83" hidden="1" customWidth="1"/>
    <col min="30" max="30" width="0" hidden="1" customWidth="1"/>
  </cols>
  <sheetData>
    <row r="1" spans="1:29" ht="15" customHeight="1">
      <c r="S1"/>
      <c r="T1"/>
    </row>
    <row r="2" spans="1:29" ht="15" customHeight="1">
      <c r="A2" s="194" t="s">
        <v>1</v>
      </c>
      <c r="B2" s="194" t="s">
        <v>2</v>
      </c>
      <c r="C2" s="194" t="s">
        <v>3</v>
      </c>
      <c r="D2" s="194" t="s">
        <v>4</v>
      </c>
      <c r="E2" s="194" t="s">
        <v>5</v>
      </c>
      <c r="F2" s="194" t="s">
        <v>6</v>
      </c>
      <c r="G2" s="195" t="s">
        <v>7</v>
      </c>
      <c r="H2" s="194" t="s">
        <v>8</v>
      </c>
      <c r="I2" s="194" t="s">
        <v>9</v>
      </c>
      <c r="J2" s="194" t="s">
        <v>10</v>
      </c>
      <c r="K2" s="195" t="s">
        <v>11</v>
      </c>
      <c r="L2" s="195" t="s">
        <v>12</v>
      </c>
      <c r="M2" s="195" t="s">
        <v>13</v>
      </c>
      <c r="N2" s="195" t="s">
        <v>14</v>
      </c>
      <c r="O2" s="195" t="s">
        <v>15</v>
      </c>
      <c r="P2" s="195" t="s">
        <v>16</v>
      </c>
      <c r="Q2" s="195" t="s">
        <v>17</v>
      </c>
      <c r="R2" s="196" t="s">
        <v>683</v>
      </c>
      <c r="S2" s="193"/>
      <c r="T2" s="193"/>
      <c r="U2" s="193" t="s">
        <v>20</v>
      </c>
      <c r="V2" s="193"/>
      <c r="W2" s="193"/>
      <c r="X2" s="193"/>
      <c r="Y2" s="193"/>
      <c r="Z2" s="193"/>
      <c r="AA2" s="193"/>
      <c r="AB2" s="193"/>
    </row>
    <row r="3" spans="1:29" ht="15" customHeight="1">
      <c r="A3" s="197"/>
      <c r="B3" s="87" t="s">
        <v>349</v>
      </c>
      <c r="C3" s="87"/>
      <c r="D3" s="87"/>
      <c r="E3" s="87"/>
      <c r="F3" s="87"/>
      <c r="G3" s="87"/>
      <c r="H3" s="88"/>
      <c r="I3" s="88"/>
      <c r="J3" s="88"/>
      <c r="K3" s="88"/>
      <c r="L3" s="88"/>
      <c r="M3" s="88"/>
      <c r="N3" s="88"/>
      <c r="O3" s="88"/>
      <c r="P3" s="88"/>
      <c r="Q3" s="88"/>
      <c r="R3" s="198"/>
      <c r="S3" s="90"/>
      <c r="T3" s="91"/>
      <c r="U3" s="85">
        <f t="shared" ref="U3:U4" si="0">IF(ISBLANK(A3),1,--OR(K3&gt;1,L3&gt;1,M3&gt;1))</f>
        <v>1</v>
      </c>
      <c r="V3" s="85"/>
      <c r="W3" s="85"/>
      <c r="X3" s="85"/>
      <c r="Y3" s="85"/>
      <c r="Z3" s="85"/>
      <c r="AA3" s="85"/>
      <c r="AB3" s="85"/>
      <c r="AC3" s="83">
        <f>O3-P3</f>
        <v>0</v>
      </c>
    </row>
    <row r="4" spans="1:29" ht="18.75" customHeight="1">
      <c r="A4" s="93">
        <v>1611100110</v>
      </c>
      <c r="B4" s="93" t="str">
        <f t="shared" ref="B4:B20" si="1">MID(A4,8,3)</f>
        <v>110</v>
      </c>
      <c r="C4" s="93" t="str">
        <f t="shared" ref="C4:C20" si="2">MID(A4,2,6)</f>
        <v>611100</v>
      </c>
      <c r="D4" s="93" t="s">
        <v>350</v>
      </c>
      <c r="E4" s="94">
        <v>748160</v>
      </c>
      <c r="F4" s="94">
        <v>617437.53</v>
      </c>
      <c r="G4" s="94">
        <f t="shared" ref="G4" si="3">F4*12/10</f>
        <v>740925.03600000008</v>
      </c>
      <c r="H4" s="94">
        <v>755642</v>
      </c>
      <c r="I4" s="95" t="e">
        <f>VLOOKUP(A4,#REF!,6,0)</f>
        <v>#REF!</v>
      </c>
      <c r="J4" s="95" t="e">
        <f>+I4*1.71428571428571</f>
        <v>#REF!</v>
      </c>
      <c r="K4" s="95">
        <v>753946</v>
      </c>
      <c r="L4" s="95">
        <v>752700</v>
      </c>
      <c r="M4" s="95">
        <v>755000</v>
      </c>
      <c r="N4" s="95">
        <f>VLOOKUP(A4,[1]כספי!$A$1:$E$324,5,0)</f>
        <v>487900.45</v>
      </c>
      <c r="O4" s="95">
        <f>VLOOKUP(A:A,'[1]דוח כספי 31.10'!A:J,9,0)</f>
        <v>1172000</v>
      </c>
      <c r="P4" s="95">
        <f>VLOOKUP(A:A,'[1]דוח כספי 31.10'!A:D,4,0)</f>
        <v>1020928.08</v>
      </c>
      <c r="Q4" s="95">
        <v>1360000</v>
      </c>
      <c r="R4" s="199"/>
      <c r="S4" s="97">
        <v>60207</v>
      </c>
      <c r="T4" s="91">
        <f>60207*12.1</f>
        <v>728504.7</v>
      </c>
      <c r="U4" s="85">
        <f t="shared" si="0"/>
        <v>1</v>
      </c>
      <c r="V4" s="98">
        <f t="shared" ref="V4" si="4">+P4-M4</f>
        <v>265928.07999999996</v>
      </c>
      <c r="W4" s="85"/>
      <c r="X4" s="85"/>
      <c r="Y4" s="85"/>
      <c r="Z4" s="85"/>
      <c r="AA4" s="85"/>
      <c r="AB4" s="85"/>
      <c r="AC4"/>
    </row>
    <row r="5" spans="1:29" ht="19.5" customHeight="1">
      <c r="A5" s="93">
        <v>1611000310</v>
      </c>
      <c r="B5" s="109" t="str">
        <f t="shared" si="1"/>
        <v>310</v>
      </c>
      <c r="C5" s="109" t="str">
        <f t="shared" si="2"/>
        <v>611000</v>
      </c>
      <c r="D5" s="93" t="s">
        <v>351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>
        <f>VLOOKUP(A:A,'[1]דוח כספי 31.10'!A:J,9,0)</f>
        <v>0</v>
      </c>
      <c r="P5" s="95"/>
      <c r="Q5" s="95">
        <f t="shared" ref="Q5:Q20" si="5">P5/9*12</f>
        <v>0</v>
      </c>
      <c r="R5" s="200"/>
      <c r="S5" s="97"/>
      <c r="T5" s="91"/>
      <c r="U5" s="85"/>
      <c r="V5" s="98"/>
      <c r="W5" s="85"/>
      <c r="X5" s="85"/>
      <c r="Y5" s="85"/>
      <c r="Z5" s="85"/>
      <c r="AA5" s="85"/>
      <c r="AB5" s="85"/>
      <c r="AC5"/>
    </row>
    <row r="6" spans="1:29" ht="15" customHeight="1">
      <c r="A6" s="93"/>
      <c r="B6" s="93"/>
      <c r="C6" s="93"/>
      <c r="D6" s="93"/>
      <c r="E6" s="94"/>
      <c r="F6" s="94"/>
      <c r="G6" s="94"/>
      <c r="H6" s="94"/>
      <c r="I6" s="95"/>
      <c r="J6" s="95"/>
      <c r="K6" s="95"/>
      <c r="L6" s="95"/>
      <c r="M6" s="95"/>
      <c r="N6" s="95"/>
      <c r="O6" s="95"/>
      <c r="P6" s="95"/>
      <c r="Q6" s="95"/>
      <c r="R6" s="199"/>
      <c r="S6" s="97"/>
      <c r="T6" s="91"/>
      <c r="U6" s="85"/>
      <c r="V6" s="98"/>
      <c r="W6" s="85"/>
      <c r="X6" s="85"/>
      <c r="Y6" s="85"/>
      <c r="Z6" s="85"/>
      <c r="AA6" s="85"/>
      <c r="AB6" s="85"/>
      <c r="AC6"/>
    </row>
    <row r="7" spans="1:29" ht="15" customHeight="1">
      <c r="A7" s="93">
        <v>1611100310</v>
      </c>
      <c r="B7" s="109" t="str">
        <f t="shared" si="1"/>
        <v>310</v>
      </c>
      <c r="C7" s="109" t="str">
        <f t="shared" si="2"/>
        <v>611100</v>
      </c>
      <c r="D7" s="93" t="s">
        <v>353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>
        <f>VLOOKUP(A:A,'[1]דוח כספי 31.10'!A:J,9,0)</f>
        <v>750000</v>
      </c>
      <c r="P7" s="95">
        <f>312465+187474</f>
        <v>499939</v>
      </c>
      <c r="Q7" s="95">
        <f>500000+200000</f>
        <v>700000</v>
      </c>
      <c r="R7" s="200"/>
      <c r="S7" s="97"/>
      <c r="T7" s="91"/>
      <c r="U7" s="85"/>
      <c r="V7" s="98"/>
      <c r="W7" s="85"/>
      <c r="X7" s="85"/>
      <c r="Y7" s="85"/>
      <c r="Z7" s="85"/>
      <c r="AA7" s="85"/>
      <c r="AB7" s="85"/>
      <c r="AC7"/>
    </row>
    <row r="8" spans="1:29" ht="15" customHeight="1">
      <c r="A8" s="93">
        <v>1611100440</v>
      </c>
      <c r="B8" s="109" t="str">
        <f t="shared" si="1"/>
        <v>440</v>
      </c>
      <c r="C8" s="109" t="str">
        <f t="shared" si="2"/>
        <v>611100</v>
      </c>
      <c r="D8" s="93" t="s">
        <v>354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>
        <f>VLOOKUP(A:A,'[1]דוח כספי 31.10'!A:J,9,0)</f>
        <v>19000</v>
      </c>
      <c r="P8" s="95">
        <f>VLOOKUP(A:A,'[1]דוח כספי 31.10'!A:D,4,0)</f>
        <v>0</v>
      </c>
      <c r="Q8" s="95">
        <f>P8/10*12</f>
        <v>0</v>
      </c>
      <c r="R8" s="200"/>
      <c r="S8" s="97"/>
      <c r="T8" s="91"/>
      <c r="U8" s="85"/>
      <c r="V8" s="98"/>
      <c r="W8" s="85"/>
      <c r="X8" s="85"/>
      <c r="Y8" s="85"/>
      <c r="Z8" s="85"/>
      <c r="AA8" s="85"/>
      <c r="AB8" s="85"/>
      <c r="AC8" s="83">
        <f t="shared" ref="AC8:AC17" si="6">O8-P8</f>
        <v>19000</v>
      </c>
    </row>
    <row r="9" spans="1:29" ht="15" customHeight="1">
      <c r="A9" s="93">
        <v>1611100510</v>
      </c>
      <c r="B9" s="109" t="str">
        <f t="shared" si="1"/>
        <v>510</v>
      </c>
      <c r="C9" s="109" t="str">
        <f t="shared" si="2"/>
        <v>611100</v>
      </c>
      <c r="D9" s="93" t="s">
        <v>355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>
        <f>VLOOKUP(A:A,'[1]דוח כספי 31.10'!A:J,9,0)</f>
        <v>4000</v>
      </c>
      <c r="P9" s="95">
        <f>VLOOKUP(A:A,'[1]דוח כספי 31.10'!A:D,4,0)</f>
        <v>0</v>
      </c>
      <c r="Q9" s="95">
        <v>4000</v>
      </c>
      <c r="R9" s="200"/>
      <c r="S9" s="97"/>
      <c r="T9" s="91"/>
      <c r="U9" s="85"/>
      <c r="V9" s="98"/>
      <c r="W9" s="85"/>
      <c r="X9" s="85"/>
      <c r="Y9" s="85"/>
      <c r="Z9" s="85"/>
      <c r="AA9" s="85"/>
      <c r="AB9" s="85"/>
      <c r="AC9" s="83">
        <f t="shared" si="6"/>
        <v>4000</v>
      </c>
    </row>
    <row r="10" spans="1:29" ht="15" customHeight="1">
      <c r="A10" s="93">
        <v>1611100514</v>
      </c>
      <c r="B10" s="109" t="str">
        <f t="shared" si="1"/>
        <v>514</v>
      </c>
      <c r="C10" s="109" t="str">
        <f t="shared" si="2"/>
        <v>611100</v>
      </c>
      <c r="D10" s="93" t="s">
        <v>356</v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>
        <f>VLOOKUP(A:A,'[1]דוח כספי 31.10'!A:J,9,0)</f>
        <v>16000</v>
      </c>
      <c r="P10" s="95">
        <f>VLOOKUP(A:A,'[1]דוח כספי 31.10'!A:D,4,0)</f>
        <v>0</v>
      </c>
      <c r="Q10" s="95">
        <v>16000</v>
      </c>
      <c r="R10" s="200"/>
      <c r="S10" s="97"/>
      <c r="T10" s="91"/>
      <c r="U10" s="85"/>
      <c r="V10" s="98"/>
      <c r="W10" s="85"/>
      <c r="X10" s="85"/>
      <c r="Y10" s="85"/>
      <c r="Z10" s="85"/>
      <c r="AA10" s="85"/>
      <c r="AB10" s="85"/>
      <c r="AC10" s="83">
        <f t="shared" si="6"/>
        <v>16000</v>
      </c>
    </row>
    <row r="11" spans="1:29" ht="15" customHeight="1">
      <c r="A11" s="93">
        <v>1611100521</v>
      </c>
      <c r="B11" s="109" t="str">
        <f t="shared" si="1"/>
        <v>521</v>
      </c>
      <c r="C11" s="109" t="str">
        <f t="shared" si="2"/>
        <v>611100</v>
      </c>
      <c r="D11" s="93" t="s">
        <v>357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>
        <f>VLOOKUP(A:A,'[1]דוח כספי 31.10'!A:J,9,0)</f>
        <v>0</v>
      </c>
      <c r="P11" s="95">
        <f>VLOOKUP(A:A,'[1]דוח כספי 31.10'!A:D,4,0)</f>
        <v>2000</v>
      </c>
      <c r="Q11" s="95">
        <v>3000</v>
      </c>
      <c r="R11" s="200"/>
      <c r="S11" s="97"/>
      <c r="T11" s="91"/>
      <c r="U11" s="85"/>
      <c r="V11" s="98"/>
      <c r="W11" s="85"/>
      <c r="X11" s="85"/>
      <c r="Y11" s="85"/>
      <c r="Z11" s="85"/>
      <c r="AA11" s="85"/>
      <c r="AB11" s="85"/>
      <c r="AC11" s="83">
        <f t="shared" si="6"/>
        <v>-2000</v>
      </c>
    </row>
    <row r="12" spans="1:29" ht="15" customHeight="1">
      <c r="A12" s="93">
        <v>1611100525</v>
      </c>
      <c r="B12" s="109" t="str">
        <f t="shared" si="1"/>
        <v>525</v>
      </c>
      <c r="C12" s="109" t="str">
        <f t="shared" si="2"/>
        <v>611100</v>
      </c>
      <c r="D12" s="93" t="s">
        <v>358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>
        <f>VLOOKUP(A:A,'[1]דוח כספי 31.10'!A:J,9,0)</f>
        <v>0</v>
      </c>
      <c r="P12" s="95">
        <f>VLOOKUP(A:A,'[1]דוח כספי 31.10'!A:D,4,0)</f>
        <v>97670</v>
      </c>
      <c r="Q12" s="95">
        <v>98000</v>
      </c>
      <c r="R12" s="200"/>
      <c r="S12" s="97"/>
      <c r="T12" s="91"/>
      <c r="U12" s="85"/>
      <c r="V12" s="98"/>
      <c r="W12" s="85"/>
      <c r="X12" s="85"/>
      <c r="Y12" s="85"/>
      <c r="Z12" s="85"/>
      <c r="AA12" s="85"/>
      <c r="AB12" s="85"/>
      <c r="AC12" s="83">
        <f t="shared" si="6"/>
        <v>-97670</v>
      </c>
    </row>
    <row r="13" spans="1:29" ht="15" customHeight="1">
      <c r="A13" s="93">
        <v>1611100531</v>
      </c>
      <c r="B13" s="109" t="str">
        <f t="shared" si="1"/>
        <v>531</v>
      </c>
      <c r="C13" s="109" t="str">
        <f t="shared" si="2"/>
        <v>611100</v>
      </c>
      <c r="D13" s="93" t="s">
        <v>359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>
        <f>VLOOKUP(A:A,'[1]דוח כספי 31.10'!A:J,9,0)</f>
        <v>0</v>
      </c>
      <c r="P13" s="95">
        <f>VLOOKUP(A:A,'[1]דוח כספי 31.10'!A:D,4,0)</f>
        <v>42395</v>
      </c>
      <c r="Q13" s="95">
        <v>52000</v>
      </c>
      <c r="R13" s="200"/>
      <c r="S13" s="97"/>
      <c r="T13" s="91"/>
      <c r="U13" s="85"/>
      <c r="V13" s="98"/>
      <c r="W13" s="85"/>
      <c r="X13" s="85"/>
      <c r="Y13" s="85"/>
      <c r="Z13" s="85"/>
      <c r="AA13" s="85"/>
      <c r="AB13" s="85"/>
      <c r="AC13" s="83">
        <f t="shared" si="6"/>
        <v>-42395</v>
      </c>
    </row>
    <row r="14" spans="1:29" ht="15" customHeight="1">
      <c r="A14" s="93">
        <v>1611100540</v>
      </c>
      <c r="B14" s="109" t="str">
        <f t="shared" si="1"/>
        <v>540</v>
      </c>
      <c r="C14" s="109" t="str">
        <f t="shared" si="2"/>
        <v>611100</v>
      </c>
      <c r="D14" s="93" t="s">
        <v>360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>
        <f>VLOOKUP(A:A,'[1]דוח כספי 31.10'!A:J,9,0)</f>
        <v>12000</v>
      </c>
      <c r="P14" s="95">
        <f>VLOOKUP(A:A,'[1]דוח כספי 31.10'!A:D,4,0)</f>
        <v>36994.410000000003</v>
      </c>
      <c r="Q14" s="95">
        <v>45000</v>
      </c>
      <c r="R14" s="200"/>
      <c r="S14" s="97"/>
      <c r="T14" s="91"/>
      <c r="U14" s="85"/>
      <c r="V14" s="98"/>
      <c r="W14" s="85"/>
      <c r="X14" s="85"/>
      <c r="Y14" s="85"/>
      <c r="Z14" s="85"/>
      <c r="AA14" s="85"/>
      <c r="AB14" s="85"/>
      <c r="AC14" s="83">
        <f t="shared" si="6"/>
        <v>-24994.410000000003</v>
      </c>
    </row>
    <row r="15" spans="1:29" ht="15" customHeight="1">
      <c r="A15" s="93">
        <v>1611100550</v>
      </c>
      <c r="B15" s="109" t="str">
        <f t="shared" si="1"/>
        <v>550</v>
      </c>
      <c r="C15" s="109" t="str">
        <f t="shared" si="2"/>
        <v>611100</v>
      </c>
      <c r="D15" s="93" t="s">
        <v>361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>
        <f>VLOOKUP(A:A,'[1]דוח כספי 31.10'!A:J,9,0)</f>
        <v>0</v>
      </c>
      <c r="P15" s="95">
        <f>VLOOKUP(A:A,'[1]דוח כספי 31.10'!A:D,4,0)</f>
        <v>0</v>
      </c>
      <c r="Q15" s="95">
        <f t="shared" ref="Q15:Q17" si="7">P15/10*12</f>
        <v>0</v>
      </c>
      <c r="R15" s="200"/>
      <c r="S15" s="97"/>
      <c r="T15" s="91"/>
      <c r="U15" s="85"/>
      <c r="V15" s="98"/>
      <c r="W15" s="85"/>
      <c r="X15" s="85"/>
      <c r="Y15" s="85"/>
      <c r="Z15" s="85"/>
      <c r="AA15" s="85"/>
      <c r="AB15" s="85"/>
      <c r="AC15" s="83">
        <f t="shared" si="6"/>
        <v>0</v>
      </c>
    </row>
    <row r="16" spans="1:29" ht="15" customHeight="1">
      <c r="A16" s="93">
        <v>1611100810</v>
      </c>
      <c r="B16" s="109" t="str">
        <f t="shared" si="1"/>
        <v>810</v>
      </c>
      <c r="C16" s="109" t="str">
        <f t="shared" si="2"/>
        <v>611100</v>
      </c>
      <c r="D16" s="93" t="s">
        <v>362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>
        <f>VLOOKUP(A:A,'[1]דוח כספי 31.10'!A:J,9,0)</f>
        <v>0</v>
      </c>
      <c r="P16" s="95">
        <f>VLOOKUP(A:A,'[1]דוח כספי 31.10'!A:D,4,0)</f>
        <v>0</v>
      </c>
      <c r="Q16" s="95">
        <f t="shared" si="7"/>
        <v>0</v>
      </c>
      <c r="R16" s="200"/>
      <c r="S16" s="97"/>
      <c r="T16" s="91"/>
      <c r="U16" s="85"/>
      <c r="V16" s="98"/>
      <c r="W16" s="85"/>
      <c r="X16" s="85"/>
      <c r="Y16" s="85"/>
      <c r="Z16" s="85"/>
      <c r="AA16" s="85"/>
      <c r="AB16" s="85"/>
      <c r="AC16" s="83">
        <f t="shared" si="6"/>
        <v>0</v>
      </c>
    </row>
    <row r="17" spans="1:31" ht="15" customHeight="1">
      <c r="A17" s="93">
        <v>1611100910</v>
      </c>
      <c r="B17" s="109" t="str">
        <f t="shared" si="1"/>
        <v>910</v>
      </c>
      <c r="C17" s="109" t="str">
        <f t="shared" si="2"/>
        <v>611100</v>
      </c>
      <c r="D17" s="93" t="s">
        <v>363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>
        <f>VLOOKUP(A:A,'[1]דוח כספי 31.10'!A:J,9,0)</f>
        <v>0</v>
      </c>
      <c r="P17" s="95">
        <f>VLOOKUP(A:A,'[1]דוח כספי 31.10'!A:D,4,0)</f>
        <v>0</v>
      </c>
      <c r="Q17" s="95">
        <f t="shared" si="7"/>
        <v>0</v>
      </c>
      <c r="R17" s="200"/>
      <c r="S17" s="97"/>
      <c r="T17" s="91"/>
      <c r="U17" s="85"/>
      <c r="V17" s="98"/>
      <c r="W17" s="85"/>
      <c r="X17" s="85"/>
      <c r="Y17" s="85"/>
      <c r="Z17" s="85"/>
      <c r="AA17" s="85"/>
      <c r="AB17" s="85"/>
      <c r="AC17" s="83">
        <f t="shared" si="6"/>
        <v>0</v>
      </c>
    </row>
    <row r="18" spans="1:31" ht="17.25" customHeight="1">
      <c r="A18" s="93">
        <v>1611120110</v>
      </c>
      <c r="B18" s="93" t="str">
        <f t="shared" si="1"/>
        <v>110</v>
      </c>
      <c r="C18" s="93" t="str">
        <f t="shared" si="2"/>
        <v>611120</v>
      </c>
      <c r="D18" s="93" t="s">
        <v>684</v>
      </c>
      <c r="E18" s="94"/>
      <c r="F18" s="94"/>
      <c r="G18" s="94"/>
      <c r="H18" s="94"/>
      <c r="I18" s="95"/>
      <c r="J18" s="95"/>
      <c r="K18" s="95"/>
      <c r="L18" s="95"/>
      <c r="M18" s="95"/>
      <c r="N18" s="95"/>
      <c r="O18" s="95">
        <f>VLOOKUP(A:A,'[1]דוח כספי 31.10'!A:J,9,0)</f>
        <v>0</v>
      </c>
      <c r="P18" s="95">
        <f>VLOOKUP(A:A,'[1]דוח כספי 31.10'!A:D,4,0)</f>
        <v>0</v>
      </c>
      <c r="Q18" s="95">
        <f t="shared" si="5"/>
        <v>0</v>
      </c>
      <c r="R18" s="199"/>
      <c r="S18" s="97"/>
      <c r="T18" s="91"/>
      <c r="U18" s="85"/>
      <c r="V18" s="98"/>
      <c r="W18" s="85"/>
      <c r="X18" s="85"/>
      <c r="Y18" s="85"/>
      <c r="Z18" s="85"/>
      <c r="AA18" s="85"/>
      <c r="AB18" s="85"/>
      <c r="AC18"/>
    </row>
    <row r="19" spans="1:31" ht="15" customHeight="1">
      <c r="A19" s="93">
        <v>1611130110</v>
      </c>
      <c r="B19" s="93" t="str">
        <f t="shared" si="1"/>
        <v>110</v>
      </c>
      <c r="C19" s="93" t="str">
        <f t="shared" si="2"/>
        <v>611130</v>
      </c>
      <c r="D19" s="93" t="s">
        <v>366</v>
      </c>
      <c r="E19" s="94"/>
      <c r="F19" s="94"/>
      <c r="G19" s="94"/>
      <c r="H19" s="94"/>
      <c r="I19" s="95"/>
      <c r="J19" s="95"/>
      <c r="K19" s="95"/>
      <c r="L19" s="95"/>
      <c r="M19" s="95"/>
      <c r="N19" s="95"/>
      <c r="O19" s="95">
        <f>VLOOKUP(A:A,'[1]דוח כספי 31.10'!A:J,9,0)</f>
        <v>0</v>
      </c>
      <c r="P19" s="95">
        <f>VLOOKUP(A:A,'[1]דוח כספי 31.10'!A:D,4,0)</f>
        <v>0</v>
      </c>
      <c r="Q19" s="95">
        <f t="shared" si="5"/>
        <v>0</v>
      </c>
      <c r="R19" s="199"/>
      <c r="S19" s="97"/>
      <c r="T19" s="91"/>
      <c r="U19" s="85"/>
      <c r="V19" s="98"/>
      <c r="W19" s="85"/>
      <c r="X19" s="85"/>
      <c r="Y19" s="85"/>
      <c r="Z19" s="85"/>
      <c r="AA19" s="85"/>
      <c r="AB19" s="85"/>
      <c r="AC19"/>
    </row>
    <row r="20" spans="1:31" ht="15" customHeight="1">
      <c r="A20" s="93">
        <v>1611200110</v>
      </c>
      <c r="B20" s="93" t="str">
        <f t="shared" si="1"/>
        <v>110</v>
      </c>
      <c r="C20" s="93" t="str">
        <f t="shared" si="2"/>
        <v>611200</v>
      </c>
      <c r="D20" s="93" t="s">
        <v>367</v>
      </c>
      <c r="E20" s="94"/>
      <c r="F20" s="94"/>
      <c r="G20" s="94"/>
      <c r="H20" s="94"/>
      <c r="I20" s="95"/>
      <c r="J20" s="95"/>
      <c r="K20" s="95"/>
      <c r="L20" s="95"/>
      <c r="M20" s="95"/>
      <c r="N20" s="95"/>
      <c r="O20" s="95">
        <f>VLOOKUP(A:A,'[1]דוח כספי 31.10'!A:J,9,0)</f>
        <v>0</v>
      </c>
      <c r="P20" s="95">
        <f>VLOOKUP(A:A,'[1]דוח כספי 31.10'!A:D,4,0)</f>
        <v>0</v>
      </c>
      <c r="Q20" s="95">
        <f t="shared" si="5"/>
        <v>0</v>
      </c>
      <c r="R20" s="199"/>
      <c r="S20" s="97"/>
      <c r="T20" s="91"/>
      <c r="U20" s="85"/>
      <c r="V20" s="98"/>
      <c r="W20" s="85"/>
      <c r="X20" s="85"/>
      <c r="Y20" s="85"/>
      <c r="Z20" s="85"/>
      <c r="AA20" s="85"/>
      <c r="AB20" s="85"/>
      <c r="AC20"/>
    </row>
    <row r="21" spans="1:31" ht="15" customHeight="1">
      <c r="A21" s="93"/>
      <c r="B21" s="201"/>
      <c r="C21" s="201"/>
      <c r="D21" s="202" t="s">
        <v>368</v>
      </c>
      <c r="E21" s="203">
        <f t="shared" ref="E21:R21" si="8">SUM(E4:E20)</f>
        <v>748160</v>
      </c>
      <c r="F21" s="203">
        <f t="shared" si="8"/>
        <v>617437.53</v>
      </c>
      <c r="G21" s="203">
        <f t="shared" si="8"/>
        <v>740925.03600000008</v>
      </c>
      <c r="H21" s="203">
        <f t="shared" si="8"/>
        <v>755642</v>
      </c>
      <c r="I21" s="203" t="e">
        <f t="shared" si="8"/>
        <v>#REF!</v>
      </c>
      <c r="J21" s="203" t="e">
        <f t="shared" si="8"/>
        <v>#REF!</v>
      </c>
      <c r="K21" s="203">
        <f t="shared" si="8"/>
        <v>753946</v>
      </c>
      <c r="L21" s="203">
        <f t="shared" si="8"/>
        <v>752700</v>
      </c>
      <c r="M21" s="203">
        <f t="shared" si="8"/>
        <v>755000</v>
      </c>
      <c r="N21" s="203">
        <f t="shared" si="8"/>
        <v>487900.45</v>
      </c>
      <c r="O21" s="203">
        <f>SUM(O4:O20)</f>
        <v>1973000</v>
      </c>
      <c r="P21" s="203">
        <f t="shared" si="8"/>
        <v>1699926.49</v>
      </c>
      <c r="Q21" s="203">
        <f t="shared" si="8"/>
        <v>2278000</v>
      </c>
      <c r="R21" s="204">
        <f t="shared" si="8"/>
        <v>0</v>
      </c>
      <c r="S21" s="205"/>
      <c r="T21" s="91"/>
      <c r="U21" s="85">
        <f>IF(ISBLANK(A21),1,--OR(K21&gt;1,L21&gt;1,M21&gt;1))</f>
        <v>1</v>
      </c>
      <c r="V21" s="98">
        <v>0</v>
      </c>
      <c r="W21" s="85"/>
      <c r="X21" s="85"/>
      <c r="Y21" s="85"/>
      <c r="Z21" s="85"/>
      <c r="AA21" s="85"/>
      <c r="AB21" s="85"/>
      <c r="AC21" s="83">
        <f>O21-P21</f>
        <v>273073.51</v>
      </c>
    </row>
    <row r="22" spans="1:31" ht="15" customHeight="1">
      <c r="A22" s="93">
        <v>1612000310</v>
      </c>
      <c r="B22" s="109" t="str">
        <f t="shared" ref="B22:B25" si="9">MID(A22,8,3)</f>
        <v>310</v>
      </c>
      <c r="C22" s="109" t="str">
        <f t="shared" ref="C22:C25" si="10">MID(A22,2,6)</f>
        <v>612000</v>
      </c>
      <c r="D22" s="93" t="s">
        <v>369</v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>
        <f>VLOOKUP(A:A,'[1]דוח כספי 31.10'!A:J,9,0)</f>
        <v>688000</v>
      </c>
      <c r="P22" s="95">
        <f>VLOOKUP(A:A,'[1]דוח כספי 31.10'!A:D,4,0)</f>
        <v>689831.22</v>
      </c>
      <c r="Q22" s="95">
        <v>920000</v>
      </c>
      <c r="R22" s="200"/>
      <c r="S22" s="97"/>
      <c r="T22" s="91"/>
      <c r="U22" s="85"/>
      <c r="V22" s="98"/>
      <c r="W22" s="85"/>
      <c r="X22" s="85"/>
      <c r="Y22" s="85"/>
      <c r="Z22" s="85"/>
      <c r="AA22" s="85"/>
      <c r="AB22" s="85"/>
      <c r="AC22"/>
      <c r="AD22">
        <v>0</v>
      </c>
      <c r="AE22" t="s">
        <v>685</v>
      </c>
    </row>
    <row r="23" spans="1:31" ht="15" customHeight="1">
      <c r="A23" s="93">
        <v>1612000521</v>
      </c>
      <c r="B23" s="109" t="str">
        <f t="shared" si="9"/>
        <v>521</v>
      </c>
      <c r="C23" s="109" t="str">
        <f t="shared" si="10"/>
        <v>612000</v>
      </c>
      <c r="D23" s="93" t="s">
        <v>370</v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>
        <f>VLOOKUP(A:A,'[1]דוח כספי 31.10'!A:J,9,0)</f>
        <v>9000</v>
      </c>
      <c r="P23" s="95">
        <f>VLOOKUP(A:A,'[1]דוח כספי 31.10'!A:D,4,0)</f>
        <v>0</v>
      </c>
      <c r="Q23" s="95">
        <f t="shared" ref="Q23" si="11">P23/10*12</f>
        <v>0</v>
      </c>
      <c r="R23" s="200"/>
      <c r="S23" s="97"/>
      <c r="T23" s="91"/>
      <c r="U23" s="85"/>
      <c r="V23" s="98"/>
      <c r="W23" s="85"/>
      <c r="X23" s="85"/>
      <c r="Y23" s="85"/>
      <c r="Z23" s="85"/>
      <c r="AA23" s="85"/>
      <c r="AB23" s="85"/>
      <c r="AC23" s="83">
        <f>O23-P23</f>
        <v>9000</v>
      </c>
      <c r="AD23">
        <v>399000</v>
      </c>
    </row>
    <row r="24" spans="1:31" ht="17.25" customHeight="1">
      <c r="A24" s="93">
        <v>1612100110</v>
      </c>
      <c r="B24" s="93" t="str">
        <f t="shared" si="9"/>
        <v>110</v>
      </c>
      <c r="C24" s="93" t="str">
        <f t="shared" si="10"/>
        <v>612100</v>
      </c>
      <c r="D24" s="93" t="s">
        <v>371</v>
      </c>
      <c r="E24" s="94"/>
      <c r="F24" s="94"/>
      <c r="G24" s="94"/>
      <c r="H24" s="94"/>
      <c r="I24" s="95"/>
      <c r="J24" s="95"/>
      <c r="K24" s="95"/>
      <c r="L24" s="95"/>
      <c r="M24" s="95"/>
      <c r="N24" s="95"/>
      <c r="O24" s="95">
        <f>VLOOKUP(A:A,'[1]דוח כספי 31.10'!A:J,9,0)</f>
        <v>247000</v>
      </c>
      <c r="P24" s="95">
        <f>VLOOKUP(A:A,'[1]דוח כספי 31.10'!A:D,4,0)</f>
        <v>163358.16</v>
      </c>
      <c r="Q24" s="95">
        <v>218000</v>
      </c>
      <c r="R24" s="199"/>
      <c r="S24" s="97"/>
      <c r="T24" s="91"/>
      <c r="U24" s="85"/>
      <c r="V24" s="98"/>
      <c r="W24" s="85"/>
      <c r="X24" s="85"/>
      <c r="Y24" s="85"/>
      <c r="Z24" s="85"/>
      <c r="AA24" s="85"/>
      <c r="AB24" s="85"/>
      <c r="AC24"/>
    </row>
    <row r="25" spans="1:31" ht="15" customHeight="1">
      <c r="A25" s="93">
        <v>1612200110</v>
      </c>
      <c r="B25" s="93" t="str">
        <f t="shared" si="9"/>
        <v>110</v>
      </c>
      <c r="C25" s="93" t="str">
        <f t="shared" si="10"/>
        <v>612200</v>
      </c>
      <c r="D25" s="93" t="s">
        <v>372</v>
      </c>
      <c r="E25" s="94"/>
      <c r="F25" s="94"/>
      <c r="G25" s="94"/>
      <c r="H25" s="94"/>
      <c r="I25" s="95"/>
      <c r="J25" s="95"/>
      <c r="K25" s="95"/>
      <c r="L25" s="95"/>
      <c r="M25" s="95"/>
      <c r="N25" s="95"/>
      <c r="O25" s="95">
        <f>VLOOKUP(A:A,'[1]דוח כספי 31.10'!A:J,9,0)</f>
        <v>0</v>
      </c>
      <c r="P25" s="95">
        <f>VLOOKUP(A:A,'[1]דוח כספי 31.10'!A:D,4,0)</f>
        <v>0</v>
      </c>
      <c r="Q25" s="95">
        <f t="shared" ref="Q25" si="12">P25/9*12</f>
        <v>0</v>
      </c>
      <c r="R25" s="199"/>
      <c r="S25" s="97"/>
      <c r="T25" s="91"/>
      <c r="U25" s="85"/>
      <c r="V25" s="98"/>
      <c r="W25" s="85"/>
      <c r="X25" s="85"/>
      <c r="Y25" s="85"/>
      <c r="Z25" s="85"/>
      <c r="AA25" s="85"/>
      <c r="AB25" s="85"/>
      <c r="AC25"/>
    </row>
    <row r="26" spans="1:31" ht="15" customHeight="1">
      <c r="A26" s="206"/>
      <c r="B26" s="201"/>
      <c r="C26" s="201"/>
      <c r="D26" s="202" t="s">
        <v>309</v>
      </c>
      <c r="E26" s="203" t="e">
        <f>SUM(#REF!)</f>
        <v>#REF!</v>
      </c>
      <c r="F26" s="203" t="e">
        <f>SUM(#REF!)</f>
        <v>#REF!</v>
      </c>
      <c r="G26" s="203" t="e">
        <f>SUM(#REF!)</f>
        <v>#REF!</v>
      </c>
      <c r="H26" s="203" t="e">
        <f>SUM(#REF!)</f>
        <v>#REF!</v>
      </c>
      <c r="I26" s="203" t="e">
        <f>SUM(#REF!)</f>
        <v>#REF!</v>
      </c>
      <c r="J26" s="203" t="e">
        <f>SUM(#REF!)</f>
        <v>#REF!</v>
      </c>
      <c r="K26" s="203" t="e">
        <f>SUM(#REF!)</f>
        <v>#REF!</v>
      </c>
      <c r="L26" s="203" t="e">
        <f>SUM(#REF!)</f>
        <v>#REF!</v>
      </c>
      <c r="M26" s="203" t="e">
        <f>SUM(#REF!)</f>
        <v>#REF!</v>
      </c>
      <c r="N26" s="203" t="e">
        <f>SUM(#REF!)</f>
        <v>#REF!</v>
      </c>
      <c r="O26" s="203">
        <f>SUM(O22:O25)</f>
        <v>944000</v>
      </c>
      <c r="P26" s="203">
        <f t="shared" ref="P26:AB26" si="13">SUM(P22:P25)</f>
        <v>853189.38</v>
      </c>
      <c r="Q26" s="203">
        <f t="shared" si="13"/>
        <v>1138000</v>
      </c>
      <c r="R26" s="203">
        <f t="shared" si="13"/>
        <v>0</v>
      </c>
      <c r="S26" s="203">
        <f t="shared" si="13"/>
        <v>0</v>
      </c>
      <c r="T26" s="203">
        <f t="shared" si="13"/>
        <v>0</v>
      </c>
      <c r="U26" s="203">
        <f t="shared" si="13"/>
        <v>0</v>
      </c>
      <c r="V26" s="203">
        <f t="shared" si="13"/>
        <v>0</v>
      </c>
      <c r="W26" s="203">
        <f t="shared" si="13"/>
        <v>0</v>
      </c>
      <c r="X26" s="203">
        <f t="shared" si="13"/>
        <v>0</v>
      </c>
      <c r="Y26" s="203">
        <f t="shared" si="13"/>
        <v>0</v>
      </c>
      <c r="Z26" s="203">
        <f t="shared" si="13"/>
        <v>0</v>
      </c>
      <c r="AA26" s="203">
        <f t="shared" si="13"/>
        <v>0</v>
      </c>
      <c r="AB26" s="203">
        <f t="shared" si="13"/>
        <v>0</v>
      </c>
      <c r="AC26" s="83">
        <f>O26-P26</f>
        <v>90810.62</v>
      </c>
    </row>
    <row r="27" spans="1:31" ht="18.75" customHeight="1">
      <c r="A27" s="93">
        <v>1613000110</v>
      </c>
      <c r="B27" s="109" t="str">
        <f t="shared" ref="B27:B76" si="14">MID(A27,8,3)</f>
        <v>110</v>
      </c>
      <c r="C27" s="109" t="str">
        <f t="shared" ref="C27:C45" si="15">MID(A27,2,6)</f>
        <v>613000</v>
      </c>
      <c r="D27" s="93" t="s">
        <v>375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>
        <v>399000</v>
      </c>
      <c r="P27" s="95">
        <v>243000</v>
      </c>
      <c r="Q27" s="95">
        <v>243000</v>
      </c>
      <c r="R27" s="200"/>
      <c r="S27" s="97"/>
      <c r="T27" s="91"/>
      <c r="U27" s="85"/>
      <c r="V27" s="98"/>
      <c r="W27" s="85"/>
      <c r="X27" s="85"/>
      <c r="Y27" s="85"/>
      <c r="Z27" s="85"/>
      <c r="AA27" s="85"/>
      <c r="AB27" s="85"/>
      <c r="AC27"/>
    </row>
    <row r="28" spans="1:31" ht="15" customHeight="1">
      <c r="A28" s="93">
        <v>1613000400</v>
      </c>
      <c r="B28" s="109" t="str">
        <f t="shared" si="14"/>
        <v>400</v>
      </c>
      <c r="C28" s="109" t="str">
        <f t="shared" si="15"/>
        <v>613000</v>
      </c>
      <c r="D28" s="93" t="s">
        <v>376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>
        <f>VLOOKUP(A:A,'[1]דוח כספי 31.10'!A:J,9,0)</f>
        <v>6000</v>
      </c>
      <c r="P28" s="95">
        <f>VLOOKUP(A:A,'[1]דוח כספי 31.10'!A:D,4,0)</f>
        <v>12098.63</v>
      </c>
      <c r="Q28" s="95">
        <v>15000</v>
      </c>
      <c r="R28" s="200"/>
      <c r="S28" s="97"/>
      <c r="T28" s="91"/>
      <c r="U28" s="85"/>
      <c r="V28" s="98"/>
      <c r="W28" s="85"/>
      <c r="X28" s="85"/>
      <c r="Y28" s="85"/>
      <c r="Z28" s="85"/>
      <c r="AA28" s="85"/>
      <c r="AB28" s="85"/>
      <c r="AC28" s="83">
        <f t="shared" ref="AC28:AC44" si="16">O28-P28</f>
        <v>-6098.6299999999992</v>
      </c>
    </row>
    <row r="29" spans="1:31" ht="15" customHeight="1">
      <c r="A29" s="93">
        <v>1613000431</v>
      </c>
      <c r="B29" s="109" t="str">
        <f t="shared" si="14"/>
        <v>431</v>
      </c>
      <c r="C29" s="109" t="str">
        <f t="shared" si="15"/>
        <v>613000</v>
      </c>
      <c r="D29" s="93" t="s">
        <v>377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>
        <f>VLOOKUP(A:A,'[1]דוח כספי 31.10'!A:J,9,0)</f>
        <v>18000</v>
      </c>
      <c r="P29" s="95">
        <f>VLOOKUP(A:A,'[1]דוח כספי 31.10'!A:D,4,0)</f>
        <v>8210.44</v>
      </c>
      <c r="Q29" s="95">
        <v>10000</v>
      </c>
      <c r="R29" s="200"/>
      <c r="S29" s="97"/>
      <c r="T29" s="91"/>
      <c r="U29" s="85"/>
      <c r="V29" s="98"/>
      <c r="W29" s="85"/>
      <c r="X29" s="85"/>
      <c r="Y29" s="85"/>
      <c r="Z29" s="85"/>
      <c r="AA29" s="85"/>
      <c r="AB29" s="85"/>
      <c r="AC29" s="83">
        <f t="shared" si="16"/>
        <v>9789.56</v>
      </c>
    </row>
    <row r="30" spans="1:31" ht="15" customHeight="1">
      <c r="A30" s="207">
        <v>1613000432</v>
      </c>
      <c r="B30" s="208" t="str">
        <f t="shared" si="14"/>
        <v>432</v>
      </c>
      <c r="C30" s="208" t="str">
        <f t="shared" si="15"/>
        <v>613000</v>
      </c>
      <c r="D30" s="207" t="s">
        <v>378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209">
        <f>VLOOKUP(A:A,'[1]דוח כספי 31.10'!A:J,9,0)</f>
        <v>18000</v>
      </c>
      <c r="P30" s="95">
        <f>VLOOKUP(A:A,'[1]דוח כספי 31.10'!A:D,4,0)</f>
        <v>0</v>
      </c>
      <c r="Q30" s="209">
        <v>18000</v>
      </c>
      <c r="R30" s="200"/>
      <c r="S30" s="97"/>
      <c r="T30" s="91"/>
      <c r="U30" s="85"/>
      <c r="V30" s="98"/>
      <c r="W30" s="85"/>
      <c r="X30" s="85"/>
      <c r="Y30" s="85"/>
      <c r="Z30" s="85"/>
      <c r="AA30" s="85"/>
      <c r="AB30" s="85"/>
      <c r="AC30" s="83">
        <f t="shared" si="16"/>
        <v>18000</v>
      </c>
    </row>
    <row r="31" spans="1:31" ht="15" customHeight="1">
      <c r="A31" s="93">
        <v>1613000433</v>
      </c>
      <c r="B31" s="109" t="str">
        <f t="shared" si="14"/>
        <v>433</v>
      </c>
      <c r="C31" s="109" t="str">
        <f t="shared" si="15"/>
        <v>613000</v>
      </c>
      <c r="D31" s="93" t="s">
        <v>379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>
        <f>VLOOKUP(A:A,'[1]דוח כספי 31.10'!A:J,9,0)</f>
        <v>8000</v>
      </c>
      <c r="P31" s="95">
        <f>VLOOKUP(A:A,'[1]דוח כספי 31.10'!A:D,4,0)</f>
        <v>11901</v>
      </c>
      <c r="Q31" s="95">
        <v>14000</v>
      </c>
      <c r="R31" s="200"/>
      <c r="S31" s="97"/>
      <c r="T31" s="91"/>
      <c r="U31" s="85"/>
      <c r="V31" s="98"/>
      <c r="W31" s="85"/>
      <c r="X31" s="85"/>
      <c r="Y31" s="85"/>
      <c r="Z31" s="85"/>
      <c r="AA31" s="85"/>
      <c r="AB31" s="85"/>
      <c r="AC31" s="83">
        <f t="shared" si="16"/>
        <v>-3901</v>
      </c>
    </row>
    <row r="32" spans="1:31" ht="15" customHeight="1">
      <c r="A32" s="93">
        <v>1613000440</v>
      </c>
      <c r="B32" s="109" t="str">
        <f t="shared" si="14"/>
        <v>440</v>
      </c>
      <c r="C32" s="109" t="str">
        <f t="shared" si="15"/>
        <v>613000</v>
      </c>
      <c r="D32" s="93" t="s">
        <v>354</v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>
        <f>VLOOKUP(A:A,'[1]דוח כספי 31.10'!A:J,9,0)</f>
        <v>193000</v>
      </c>
      <c r="P32" s="95">
        <f>VLOOKUP(A:A,'[1]דוח כספי 31.10'!A:D,4,0)</f>
        <v>409000</v>
      </c>
      <c r="Q32" s="95">
        <v>409000</v>
      </c>
      <c r="R32" s="200"/>
      <c r="S32" s="97"/>
      <c r="T32" s="91"/>
      <c r="U32" s="85"/>
      <c r="V32" s="98"/>
      <c r="W32" s="85"/>
      <c r="X32" s="85"/>
      <c r="Y32" s="85"/>
      <c r="Z32" s="85"/>
      <c r="AA32" s="85"/>
      <c r="AB32" s="85"/>
      <c r="AC32" s="83">
        <f t="shared" si="16"/>
        <v>-216000</v>
      </c>
    </row>
    <row r="33" spans="1:30" ht="15" customHeight="1">
      <c r="A33" s="93">
        <v>1613000450</v>
      </c>
      <c r="B33" s="109" t="str">
        <f t="shared" si="14"/>
        <v>450</v>
      </c>
      <c r="C33" s="109" t="str">
        <f t="shared" si="15"/>
        <v>613000</v>
      </c>
      <c r="D33" s="93" t="s">
        <v>380</v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>
        <f>VLOOKUP(A:A,'[1]דוח כספי 31.10'!A:J,9,0)</f>
        <v>0</v>
      </c>
      <c r="P33" s="95">
        <f>VLOOKUP(A:A,'[1]דוח כספי 31.10'!A:D,4,0)</f>
        <v>15584.4</v>
      </c>
      <c r="Q33" s="95">
        <v>19000</v>
      </c>
      <c r="R33" s="200"/>
      <c r="S33" s="97"/>
      <c r="T33" s="91"/>
      <c r="U33" s="85"/>
      <c r="V33" s="98"/>
      <c r="W33" s="85"/>
      <c r="X33" s="85"/>
      <c r="Y33" s="85"/>
      <c r="Z33" s="85"/>
      <c r="AA33" s="85"/>
      <c r="AB33" s="85"/>
      <c r="AC33" s="83">
        <f t="shared" si="16"/>
        <v>-15584.4</v>
      </c>
    </row>
    <row r="34" spans="1:30" ht="15" customHeight="1">
      <c r="A34" s="93">
        <v>1613000460</v>
      </c>
      <c r="B34" s="109" t="str">
        <f t="shared" si="14"/>
        <v>460</v>
      </c>
      <c r="C34" s="109" t="str">
        <f t="shared" si="15"/>
        <v>613000</v>
      </c>
      <c r="D34" s="93" t="s">
        <v>381</v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>
        <f>VLOOKUP(A:A,'[1]דוח כספי 31.10'!A:J,9,0)</f>
        <v>17000</v>
      </c>
      <c r="P34" s="95">
        <f>VLOOKUP(A:A,'[1]דוח כספי 31.10'!A:D,4,0)</f>
        <v>19468.8</v>
      </c>
      <c r="Q34" s="95">
        <v>23000</v>
      </c>
      <c r="R34" s="200"/>
      <c r="S34" s="97"/>
      <c r="T34" s="91"/>
      <c r="U34" s="85"/>
      <c r="V34" s="98"/>
      <c r="W34" s="85"/>
      <c r="X34" s="85"/>
      <c r="Y34" s="85"/>
      <c r="Z34" s="85"/>
      <c r="AA34" s="85"/>
      <c r="AB34" s="85"/>
      <c r="AC34" s="83">
        <f t="shared" si="16"/>
        <v>-2468.7999999999993</v>
      </c>
    </row>
    <row r="35" spans="1:30" ht="15" customHeight="1">
      <c r="A35" s="93">
        <v>1613000470</v>
      </c>
      <c r="B35" s="109" t="str">
        <f t="shared" si="14"/>
        <v>470</v>
      </c>
      <c r="C35" s="109" t="str">
        <f t="shared" si="15"/>
        <v>613000</v>
      </c>
      <c r="D35" s="93" t="s">
        <v>382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>
        <f>VLOOKUP(A:A,'[1]דוח כספי 31.10'!A:J,9,0)</f>
        <v>12000</v>
      </c>
      <c r="P35" s="95">
        <f>VLOOKUP(A:A,'[1]דוח כספי 31.10'!A:D,4,0)</f>
        <v>9765.39</v>
      </c>
      <c r="Q35" s="95">
        <v>12000</v>
      </c>
      <c r="R35" s="200"/>
      <c r="S35" s="97"/>
      <c r="T35" s="91"/>
      <c r="U35" s="85"/>
      <c r="V35" s="98"/>
      <c r="W35" s="85"/>
      <c r="X35" s="85"/>
      <c r="Y35" s="85"/>
      <c r="Z35" s="85"/>
      <c r="AA35" s="85"/>
      <c r="AB35" s="85"/>
      <c r="AC35" s="83">
        <f t="shared" si="16"/>
        <v>2234.6100000000006</v>
      </c>
    </row>
    <row r="36" spans="1:30" ht="15" customHeight="1">
      <c r="A36" s="93">
        <v>1613000510</v>
      </c>
      <c r="B36" s="109" t="str">
        <f t="shared" si="14"/>
        <v>510</v>
      </c>
      <c r="C36" s="109" t="str">
        <f t="shared" si="15"/>
        <v>613000</v>
      </c>
      <c r="D36" s="93" t="s">
        <v>383</v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>
        <f>VLOOKUP(A:A,'[1]דוח כספי 31.10'!A:J,9,0)</f>
        <v>21000</v>
      </c>
      <c r="P36" s="95">
        <f>VLOOKUP(A:A,'[1]דוח כספי 31.10'!A:D,4,0)</f>
        <v>25766</v>
      </c>
      <c r="Q36" s="95">
        <v>30000</v>
      </c>
      <c r="R36" s="200"/>
      <c r="S36" s="97"/>
      <c r="T36" s="91"/>
      <c r="U36" s="85"/>
      <c r="V36" s="98"/>
      <c r="W36" s="85"/>
      <c r="X36" s="85"/>
      <c r="Y36" s="85"/>
      <c r="Z36" s="85"/>
      <c r="AA36" s="85"/>
      <c r="AB36" s="85"/>
      <c r="AC36" s="83">
        <f t="shared" si="16"/>
        <v>-4766</v>
      </c>
    </row>
    <row r="37" spans="1:30" ht="15" customHeight="1">
      <c r="A37" s="93">
        <v>1613000521</v>
      </c>
      <c r="B37" s="109" t="str">
        <f t="shared" si="14"/>
        <v>521</v>
      </c>
      <c r="C37" s="109" t="str">
        <f t="shared" si="15"/>
        <v>613000</v>
      </c>
      <c r="D37" s="93" t="s">
        <v>357</v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>
        <f>68000+12000</f>
        <v>80000</v>
      </c>
      <c r="P37" s="95">
        <f>VLOOKUP(A:A,'[1]דוח כספי 31.10'!A:D,4,0)</f>
        <v>85530</v>
      </c>
      <c r="Q37" s="95">
        <v>86000</v>
      </c>
      <c r="R37" s="200"/>
      <c r="S37" s="97"/>
      <c r="T37" s="91"/>
      <c r="U37" s="85"/>
      <c r="V37" s="98"/>
      <c r="W37" s="85"/>
      <c r="X37" s="85"/>
      <c r="Y37" s="85"/>
      <c r="Z37" s="85"/>
      <c r="AA37" s="85"/>
      <c r="AB37" s="85"/>
      <c r="AC37" s="83">
        <f t="shared" si="16"/>
        <v>-5530</v>
      </c>
    </row>
    <row r="38" spans="1:30" ht="15" customHeight="1">
      <c r="A38" s="93">
        <v>1613000522</v>
      </c>
      <c r="B38" s="109" t="str">
        <f t="shared" si="14"/>
        <v>522</v>
      </c>
      <c r="C38" s="109" t="str">
        <f t="shared" si="15"/>
        <v>613000</v>
      </c>
      <c r="D38" s="93" t="s">
        <v>384</v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>
        <f>VLOOKUP(A:A,'[1]דוח כספי 31.10'!A:J,9,0)</f>
        <v>0</v>
      </c>
      <c r="P38" s="95">
        <f>VLOOKUP(A:A,'[1]דוח כספי 31.10'!A:D,4,0)</f>
        <v>1733</v>
      </c>
      <c r="Q38" s="95">
        <v>2000</v>
      </c>
      <c r="R38" s="200"/>
      <c r="S38" s="97"/>
      <c r="T38" s="91"/>
      <c r="U38" s="85"/>
      <c r="V38" s="98"/>
      <c r="W38" s="85"/>
      <c r="X38" s="85"/>
      <c r="Y38" s="85"/>
      <c r="Z38" s="85"/>
      <c r="AA38" s="85"/>
      <c r="AB38" s="85"/>
      <c r="AC38" s="83">
        <f t="shared" si="16"/>
        <v>-1733</v>
      </c>
    </row>
    <row r="39" spans="1:30" ht="15" customHeight="1">
      <c r="A39" s="93">
        <v>1613000540</v>
      </c>
      <c r="B39" s="109" t="str">
        <f t="shared" si="14"/>
        <v>540</v>
      </c>
      <c r="C39" s="109" t="str">
        <f t="shared" si="15"/>
        <v>613000</v>
      </c>
      <c r="D39" s="93" t="s">
        <v>385</v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>
        <f>VLOOKUP(A:A,'[1]דוח כספי 31.10'!A:J,9,0)</f>
        <v>72000</v>
      </c>
      <c r="P39" s="95">
        <f>VLOOKUP(A:A,'[1]דוח כספי 31.10'!A:D,4,0)</f>
        <v>19165.189999999999</v>
      </c>
      <c r="Q39" s="95">
        <v>23000</v>
      </c>
      <c r="R39" s="200"/>
      <c r="S39" s="97"/>
      <c r="T39" s="91"/>
      <c r="U39" s="85"/>
      <c r="V39" s="98"/>
      <c r="W39" s="85"/>
      <c r="X39" s="85"/>
      <c r="Y39" s="85"/>
      <c r="Z39" s="85"/>
      <c r="AA39" s="85"/>
      <c r="AB39" s="85"/>
      <c r="AC39" s="83">
        <f t="shared" si="16"/>
        <v>52834.81</v>
      </c>
    </row>
    <row r="40" spans="1:30" ht="15" customHeight="1">
      <c r="A40" s="93">
        <v>1613000550</v>
      </c>
      <c r="B40" s="109" t="str">
        <f t="shared" si="14"/>
        <v>550</v>
      </c>
      <c r="C40" s="109" t="str">
        <f t="shared" si="15"/>
        <v>613000</v>
      </c>
      <c r="D40" s="93" t="s">
        <v>386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>
        <f>VLOOKUP(A:A,'[1]דוח כספי 31.10'!A:J,9,0)</f>
        <v>19000</v>
      </c>
      <c r="P40" s="95">
        <f>VLOOKUP(A:A,'[1]דוח כספי 31.10'!A:D,4,0)</f>
        <v>83080.5</v>
      </c>
      <c r="Q40" s="95">
        <v>100000</v>
      </c>
      <c r="R40" s="200"/>
      <c r="S40" s="97"/>
      <c r="T40" s="91"/>
      <c r="U40" s="85"/>
      <c r="V40" s="98"/>
      <c r="W40" s="85"/>
      <c r="X40" s="85"/>
      <c r="Y40" s="85"/>
      <c r="Z40" s="85"/>
      <c r="AA40" s="85"/>
      <c r="AB40" s="85"/>
      <c r="AC40" s="83">
        <f t="shared" si="16"/>
        <v>-64080.5</v>
      </c>
    </row>
    <row r="41" spans="1:30" ht="15" customHeight="1">
      <c r="A41" s="93">
        <v>1613000560</v>
      </c>
      <c r="B41" s="109" t="str">
        <f t="shared" si="14"/>
        <v>560</v>
      </c>
      <c r="C41" s="109" t="str">
        <f t="shared" si="15"/>
        <v>613000</v>
      </c>
      <c r="D41" s="93" t="s">
        <v>387</v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>
        <f>VLOOKUP(A:A,'[1]דוח כספי 31.10'!A:J,9,0)</f>
        <v>35000</v>
      </c>
      <c r="P41" s="95">
        <f>VLOOKUP(A:A,'[1]דוח כספי 31.10'!A:D,4,0)</f>
        <v>19699</v>
      </c>
      <c r="Q41" s="95">
        <v>25000</v>
      </c>
      <c r="R41" s="200"/>
      <c r="S41" s="97"/>
      <c r="T41" s="91"/>
      <c r="U41" s="85"/>
      <c r="V41" s="98"/>
      <c r="W41" s="85"/>
      <c r="X41" s="85"/>
      <c r="Y41" s="85"/>
      <c r="Z41" s="85"/>
      <c r="AA41" s="85"/>
      <c r="AB41" s="85"/>
      <c r="AC41" s="83">
        <f t="shared" si="16"/>
        <v>15301</v>
      </c>
    </row>
    <row r="42" spans="1:30" ht="15" customHeight="1">
      <c r="A42" s="93">
        <v>1613000570</v>
      </c>
      <c r="B42" s="109" t="str">
        <f t="shared" si="14"/>
        <v>570</v>
      </c>
      <c r="C42" s="109" t="str">
        <f t="shared" si="15"/>
        <v>613000</v>
      </c>
      <c r="D42" s="93" t="s">
        <v>388</v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>
        <f>VLOOKUP(A:A,'[1]דוח כספי 31.10'!A:J,9,0)</f>
        <v>0</v>
      </c>
      <c r="P42" s="95">
        <f>VLOOKUP(A:A,'[1]דוח כספי 31.10'!A:D,4,0)</f>
        <v>0</v>
      </c>
      <c r="Q42" s="95">
        <f t="shared" ref="Q42" si="17">P42/10*12</f>
        <v>0</v>
      </c>
      <c r="R42" s="200"/>
      <c r="S42" s="97"/>
      <c r="T42" s="91"/>
      <c r="U42" s="85"/>
      <c r="V42" s="98"/>
      <c r="W42" s="85"/>
      <c r="X42" s="85"/>
      <c r="Y42" s="85"/>
      <c r="Z42" s="85"/>
      <c r="AA42" s="85"/>
      <c r="AB42" s="85"/>
      <c r="AC42" s="83">
        <f t="shared" si="16"/>
        <v>0</v>
      </c>
      <c r="AD42">
        <v>12000</v>
      </c>
    </row>
    <row r="43" spans="1:30" ht="15" customHeight="1">
      <c r="A43" s="93">
        <v>1613000780</v>
      </c>
      <c r="B43" s="109">
        <v>780</v>
      </c>
      <c r="C43" s="109">
        <v>613000</v>
      </c>
      <c r="D43" s="93" t="s">
        <v>389</v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>
        <v>70000</v>
      </c>
      <c r="P43" s="95"/>
      <c r="Q43" s="95">
        <v>70000</v>
      </c>
      <c r="R43" s="200"/>
      <c r="S43" s="97"/>
      <c r="T43" s="91"/>
      <c r="U43" s="85"/>
      <c r="V43" s="98"/>
      <c r="W43" s="85"/>
      <c r="X43" s="85"/>
      <c r="Y43" s="85"/>
      <c r="Z43" s="85"/>
      <c r="AA43" s="85"/>
      <c r="AB43" s="85"/>
    </row>
    <row r="44" spans="1:30" ht="15" customHeight="1">
      <c r="A44" s="93">
        <v>1613000930</v>
      </c>
      <c r="B44" s="109" t="str">
        <f t="shared" si="14"/>
        <v>930</v>
      </c>
      <c r="C44" s="109" t="str">
        <f t="shared" si="15"/>
        <v>613000</v>
      </c>
      <c r="D44" s="93" t="s">
        <v>390</v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>
        <f>VLOOKUP(A:A,'[1]דוח כספי 31.10'!A:J,9,0)</f>
        <v>20000</v>
      </c>
      <c r="P44" s="95">
        <f>VLOOKUP(A:A,'[1]דוח כספי 31.10'!A:D,4,0)</f>
        <v>638</v>
      </c>
      <c r="Q44" s="95">
        <v>5000</v>
      </c>
      <c r="R44" s="200"/>
      <c r="S44" s="97"/>
      <c r="T44" s="91"/>
      <c r="U44" s="85"/>
      <c r="V44" s="98"/>
      <c r="W44" s="85"/>
      <c r="X44" s="85"/>
      <c r="Y44" s="85"/>
      <c r="Z44" s="85"/>
      <c r="AA44" s="85"/>
      <c r="AB44" s="85"/>
      <c r="AC44" s="83">
        <f t="shared" si="16"/>
        <v>19362</v>
      </c>
    </row>
    <row r="45" spans="1:30" ht="18.75" customHeight="1">
      <c r="A45" s="93">
        <v>1613100110</v>
      </c>
      <c r="B45" s="109" t="str">
        <f t="shared" si="14"/>
        <v>110</v>
      </c>
      <c r="C45" s="109" t="str">
        <f t="shared" si="15"/>
        <v>613100</v>
      </c>
      <c r="D45" s="93" t="s">
        <v>391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>
        <f>VLOOKUP(A:A,'[1]דוח כספי 31.10'!A:J,9,0)</f>
        <v>369000</v>
      </c>
      <c r="P45" s="95">
        <f>VLOOKUP(A:A,'[1]דוח כספי 31.10'!A:D,4,0)</f>
        <v>195581.44</v>
      </c>
      <c r="Q45" s="95">
        <v>250000</v>
      </c>
      <c r="R45" s="200"/>
      <c r="S45" s="97"/>
      <c r="T45" s="91"/>
      <c r="U45" s="85"/>
      <c r="V45" s="98"/>
      <c r="W45" s="85"/>
      <c r="X45" s="85"/>
      <c r="Y45" s="85"/>
      <c r="Z45" s="85"/>
      <c r="AA45" s="85"/>
      <c r="AB45" s="85"/>
      <c r="AC45"/>
    </row>
    <row r="46" spans="1:30" ht="15" customHeight="1">
      <c r="A46" s="206"/>
      <c r="B46" s="201"/>
      <c r="C46" s="201"/>
      <c r="D46" s="202" t="s">
        <v>393</v>
      </c>
      <c r="E46" s="203" t="e">
        <f>SUM(#REF!)</f>
        <v>#REF!</v>
      </c>
      <c r="F46" s="203" t="e">
        <f>SUM(#REF!)</f>
        <v>#REF!</v>
      </c>
      <c r="G46" s="203" t="e">
        <f>SUM(#REF!)</f>
        <v>#REF!</v>
      </c>
      <c r="H46" s="203" t="e">
        <f>SUM(#REF!)</f>
        <v>#REF!</v>
      </c>
      <c r="I46" s="203" t="e">
        <f>SUM(#REF!)</f>
        <v>#REF!</v>
      </c>
      <c r="J46" s="203" t="e">
        <f>SUM(#REF!)</f>
        <v>#REF!</v>
      </c>
      <c r="K46" s="203">
        <f>SUM(K27:K44)</f>
        <v>0</v>
      </c>
      <c r="L46" s="203">
        <f>SUM(L27:L44)</f>
        <v>0</v>
      </c>
      <c r="M46" s="203">
        <f>SUM(M27:M44)</f>
        <v>0</v>
      </c>
      <c r="N46" s="203">
        <f>SUM(N27:N44)</f>
        <v>0</v>
      </c>
      <c r="O46" s="203">
        <f>SUM(O27:O45)</f>
        <v>1357000</v>
      </c>
      <c r="P46" s="203">
        <f t="shared" ref="P46:Q46" si="18">SUM(P27:P45)</f>
        <v>1160221.79</v>
      </c>
      <c r="Q46" s="203">
        <f t="shared" si="18"/>
        <v>1354000</v>
      </c>
      <c r="R46" s="203">
        <f>SUM(R27:R44)</f>
        <v>0</v>
      </c>
      <c r="S46" s="205"/>
      <c r="T46" s="91"/>
      <c r="U46" s="85">
        <f>IF(ISBLANK(A46),1,--OR(K46&gt;1,L46&gt;1,M46&gt;1))</f>
        <v>1</v>
      </c>
      <c r="V46" s="98">
        <v>0</v>
      </c>
      <c r="W46" s="85"/>
      <c r="X46" s="85"/>
      <c r="Y46" s="85"/>
      <c r="Z46" s="85"/>
      <c r="AA46" s="85"/>
      <c r="AB46" s="85"/>
      <c r="AC46" s="83">
        <f t="shared" ref="AC46:AC52" si="19">O46-P46</f>
        <v>196778.20999999996</v>
      </c>
    </row>
    <row r="47" spans="1:30" ht="15" customHeight="1">
      <c r="A47" s="93">
        <v>1617000620</v>
      </c>
      <c r="B47" s="109" t="str">
        <f t="shared" si="14"/>
        <v>620</v>
      </c>
      <c r="C47" s="109" t="str">
        <f t="shared" ref="C47:C49" si="20">MID(A47,2,6)</f>
        <v>617000</v>
      </c>
      <c r="D47" s="93" t="s">
        <v>394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>
        <f>VLOOKUP(A:A,'[1]דוח כספי 31.10'!A:J,9,0)</f>
        <v>100000</v>
      </c>
      <c r="P47" s="95">
        <f>VLOOKUP(A:A,'[1]דוח כספי 31.10'!A:D,4,0)</f>
        <v>105345.86</v>
      </c>
      <c r="Q47" s="95">
        <v>125000</v>
      </c>
      <c r="R47" s="200"/>
      <c r="S47" s="97"/>
      <c r="T47" s="91"/>
      <c r="U47" s="85"/>
      <c r="V47" s="98"/>
      <c r="W47" s="85"/>
      <c r="X47" s="85"/>
      <c r="Y47" s="85"/>
      <c r="Z47" s="85"/>
      <c r="AA47" s="85"/>
      <c r="AB47" s="85"/>
      <c r="AC47" s="83">
        <f t="shared" si="19"/>
        <v>-5345.8600000000006</v>
      </c>
      <c r="AD47">
        <v>70000</v>
      </c>
    </row>
    <row r="48" spans="1:30" ht="15" customHeight="1">
      <c r="A48" s="93">
        <v>1617000750</v>
      </c>
      <c r="B48" s="109" t="str">
        <f t="shared" si="14"/>
        <v>750</v>
      </c>
      <c r="C48" s="109" t="str">
        <f t="shared" si="20"/>
        <v>617000</v>
      </c>
      <c r="D48" s="93" t="s">
        <v>395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>
        <f>VLOOKUP(A:A,'[1]דוח כספי 31.10'!A:J,9,0)</f>
        <v>224000</v>
      </c>
      <c r="P48" s="95">
        <f>VLOOKUP(A:A,'[1]דוח כספי 31.10'!A:D,4,0)</f>
        <v>223410</v>
      </c>
      <c r="Q48" s="95">
        <v>265000</v>
      </c>
      <c r="R48" s="200"/>
      <c r="S48" s="97"/>
      <c r="T48" s="91"/>
      <c r="U48" s="85"/>
      <c r="V48" s="98"/>
      <c r="W48" s="85"/>
      <c r="X48" s="85"/>
      <c r="Y48" s="85"/>
      <c r="Z48" s="85"/>
      <c r="AA48" s="85"/>
      <c r="AB48" s="85"/>
      <c r="AC48" s="83">
        <f t="shared" si="19"/>
        <v>590</v>
      </c>
    </row>
    <row r="49" spans="1:29" ht="15" customHeight="1">
      <c r="A49" s="93">
        <v>1617000980</v>
      </c>
      <c r="B49" s="109" t="str">
        <f t="shared" si="14"/>
        <v>980</v>
      </c>
      <c r="C49" s="109" t="str">
        <f t="shared" si="20"/>
        <v>617000</v>
      </c>
      <c r="D49" s="93" t="s">
        <v>396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>
        <f>VLOOKUP(A:A,'[1]דוח כספי 31.10'!A:J,9,0)</f>
        <v>3000</v>
      </c>
      <c r="P49" s="95">
        <f>VLOOKUP(A:A,'[1]דוח כספי 31.10'!A:D,4,0)</f>
        <v>30000</v>
      </c>
      <c r="Q49" s="95">
        <f t="shared" ref="Q49" si="21">P49/10*12</f>
        <v>36000</v>
      </c>
      <c r="R49" s="200"/>
      <c r="S49" s="97"/>
      <c r="T49" s="91"/>
      <c r="U49" s="85"/>
      <c r="V49" s="98"/>
      <c r="W49" s="85"/>
      <c r="X49" s="85"/>
      <c r="Y49" s="85"/>
      <c r="Z49" s="85"/>
      <c r="AA49" s="85"/>
      <c r="AB49" s="85"/>
      <c r="AC49" s="83">
        <f t="shared" si="19"/>
        <v>-27000</v>
      </c>
    </row>
    <row r="50" spans="1:29" ht="15" customHeight="1">
      <c r="A50" s="206"/>
      <c r="B50" s="201"/>
      <c r="C50" s="201"/>
      <c r="D50" s="202" t="s">
        <v>397</v>
      </c>
      <c r="E50" s="203" t="e">
        <f>SUM(#REF!)</f>
        <v>#REF!</v>
      </c>
      <c r="F50" s="203" t="e">
        <f>SUM(#REF!)</f>
        <v>#REF!</v>
      </c>
      <c r="G50" s="203" t="e">
        <f>SUM(#REF!)</f>
        <v>#REF!</v>
      </c>
      <c r="H50" s="203" t="e">
        <f>SUM(#REF!)</f>
        <v>#REF!</v>
      </c>
      <c r="I50" s="203" t="e">
        <f>SUM(#REF!)</f>
        <v>#REF!</v>
      </c>
      <c r="J50" s="203" t="e">
        <f>SUM(#REF!)</f>
        <v>#REF!</v>
      </c>
      <c r="K50" s="203" t="e">
        <f>SUM(#REF!)</f>
        <v>#REF!</v>
      </c>
      <c r="L50" s="203" t="e">
        <f>SUM(#REF!)</f>
        <v>#REF!</v>
      </c>
      <c r="M50" s="203" t="e">
        <f>SUM(#REF!)</f>
        <v>#REF!</v>
      </c>
      <c r="N50" s="203" t="e">
        <f>SUM(#REF!)</f>
        <v>#REF!</v>
      </c>
      <c r="O50" s="203">
        <f>SUM(O47:O49)</f>
        <v>327000</v>
      </c>
      <c r="P50" s="203">
        <f t="shared" ref="P50:R50" si="22">SUM(P47:P49)</f>
        <v>358755.86</v>
      </c>
      <c r="Q50" s="203">
        <f t="shared" si="22"/>
        <v>426000</v>
      </c>
      <c r="R50" s="203">
        <f t="shared" si="22"/>
        <v>0</v>
      </c>
      <c r="S50" s="205"/>
      <c r="T50" s="91"/>
      <c r="U50" s="85">
        <f>IF(ISBLANK(A50),1,--OR(K50&gt;1,L50&gt;1,M50&gt;1))</f>
        <v>1</v>
      </c>
      <c r="V50" s="98" t="e">
        <f t="shared" ref="V50" si="23">+P50-M50</f>
        <v>#REF!</v>
      </c>
      <c r="W50" s="85"/>
      <c r="X50" s="85"/>
      <c r="Y50" s="85"/>
      <c r="Z50" s="85"/>
      <c r="AA50" s="85"/>
      <c r="AB50" s="85"/>
      <c r="AC50" s="83">
        <f t="shared" si="19"/>
        <v>-31755.859999999986</v>
      </c>
    </row>
    <row r="51" spans="1:29" ht="15" customHeight="1">
      <c r="A51" s="93">
        <v>1619000580</v>
      </c>
      <c r="B51" s="109" t="str">
        <f t="shared" si="14"/>
        <v>580</v>
      </c>
      <c r="C51" s="109" t="str">
        <f t="shared" ref="C51" si="24">MID(A51,2,6)</f>
        <v>619000</v>
      </c>
      <c r="D51" s="93" t="s">
        <v>686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>
        <f>VLOOKUP(A:A,'[1]דוח כספי 31.10'!A:J,9,0)</f>
        <v>0</v>
      </c>
      <c r="P51" s="95">
        <f>VLOOKUP(A:A,'[1]דוח כספי 31.10'!A:D,4,0)</f>
        <v>0</v>
      </c>
      <c r="Q51" s="95">
        <f t="shared" ref="Q51" si="25">P51/10*12</f>
        <v>0</v>
      </c>
      <c r="R51" s="200"/>
      <c r="S51" s="97"/>
      <c r="T51" s="91"/>
      <c r="U51" s="85"/>
      <c r="V51" s="98"/>
      <c r="W51" s="85"/>
      <c r="X51" s="85"/>
      <c r="Y51" s="85"/>
      <c r="Z51" s="85"/>
      <c r="AA51" s="85"/>
      <c r="AB51" s="85"/>
      <c r="AC51" s="83">
        <f t="shared" si="19"/>
        <v>0</v>
      </c>
    </row>
    <row r="52" spans="1:29" ht="15" customHeight="1">
      <c r="A52" s="206"/>
      <c r="B52" s="201"/>
      <c r="C52" s="201"/>
      <c r="D52" s="202" t="s">
        <v>399</v>
      </c>
      <c r="E52" s="203"/>
      <c r="F52" s="203"/>
      <c r="G52" s="203"/>
      <c r="H52" s="203"/>
      <c r="I52" s="210"/>
      <c r="J52" s="210"/>
      <c r="K52" s="210"/>
      <c r="L52" s="210"/>
      <c r="M52" s="210"/>
      <c r="N52" s="210"/>
      <c r="O52" s="210"/>
      <c r="P52" s="210"/>
      <c r="Q52" s="210"/>
      <c r="R52" s="203"/>
      <c r="S52" s="205"/>
      <c r="T52" s="91"/>
      <c r="U52" s="85"/>
      <c r="V52" s="98"/>
      <c r="W52" s="85"/>
      <c r="X52" s="85"/>
      <c r="Y52" s="85"/>
      <c r="Z52" s="85"/>
      <c r="AA52" s="85"/>
      <c r="AB52" s="85"/>
      <c r="AC52" s="83">
        <f t="shared" si="19"/>
        <v>0</v>
      </c>
    </row>
    <row r="53" spans="1:29" ht="17.25" customHeight="1">
      <c r="A53" s="93">
        <v>1621000110</v>
      </c>
      <c r="B53" s="109" t="str">
        <f t="shared" si="14"/>
        <v>110</v>
      </c>
      <c r="C53" s="109" t="str">
        <f t="shared" ref="C53:C65" si="26">MID(A53,2,6)</f>
        <v>621000</v>
      </c>
      <c r="D53" s="93" t="s">
        <v>353</v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>
        <f>VLOOKUP(A:A,'[1]דוח כספי 31.10'!A:J,9,0)</f>
        <v>683000</v>
      </c>
      <c r="P53" s="95">
        <f>VLOOKUP(A:A,'[1]דוח כספי 31.10'!A:D,4,0)</f>
        <v>519009.27</v>
      </c>
      <c r="Q53" s="95">
        <v>687000</v>
      </c>
      <c r="R53" s="200"/>
      <c r="S53" s="97"/>
      <c r="T53" s="91"/>
      <c r="U53" s="85"/>
      <c r="V53" s="98"/>
      <c r="W53" s="85"/>
      <c r="X53" s="85"/>
      <c r="Y53" s="85"/>
      <c r="Z53" s="85"/>
      <c r="AA53" s="85"/>
      <c r="AB53" s="85"/>
      <c r="AC53"/>
    </row>
    <row r="54" spans="1:29" ht="15" customHeight="1">
      <c r="A54" s="93">
        <v>1621000521</v>
      </c>
      <c r="B54" s="109" t="str">
        <f t="shared" si="14"/>
        <v>521</v>
      </c>
      <c r="C54" s="109" t="str">
        <f t="shared" si="26"/>
        <v>621000</v>
      </c>
      <c r="D54" s="93" t="s">
        <v>400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>
        <f>VLOOKUP(A:A,'[1]דוח כספי 31.10'!A:J,9,0)</f>
        <v>6000</v>
      </c>
      <c r="P54" s="95">
        <f>VLOOKUP(A:A,'[1]דוח כספי 31.10'!A:D,4,0)</f>
        <v>4950</v>
      </c>
      <c r="Q54" s="95">
        <v>6000</v>
      </c>
      <c r="R54" s="200"/>
      <c r="S54" s="97"/>
      <c r="T54" s="91"/>
      <c r="U54" s="85"/>
      <c r="V54" s="98"/>
      <c r="W54" s="85"/>
      <c r="X54" s="85"/>
      <c r="Y54" s="85"/>
      <c r="Z54" s="85"/>
      <c r="AA54" s="85"/>
      <c r="AB54" s="85"/>
      <c r="AC54" s="83">
        <f t="shared" ref="AC54:AC56" si="27">O54-P54</f>
        <v>1050</v>
      </c>
    </row>
    <row r="55" spans="1:29" ht="15" customHeight="1">
      <c r="A55" s="93">
        <v>1621000540</v>
      </c>
      <c r="B55" s="109" t="str">
        <f t="shared" si="14"/>
        <v>540</v>
      </c>
      <c r="C55" s="109" t="str">
        <f t="shared" si="26"/>
        <v>621000</v>
      </c>
      <c r="D55" s="93" t="s">
        <v>401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>
        <f>VLOOKUP(A:A,'[1]דוח כספי 31.10'!A:J,9,0)</f>
        <v>1000</v>
      </c>
      <c r="P55" s="95">
        <f>VLOOKUP(A:A,'[1]דוח כספי 31.10'!A:D,4,0)</f>
        <v>0</v>
      </c>
      <c r="Q55" s="95">
        <f t="shared" ref="Q55" si="28">P55/10*12</f>
        <v>0</v>
      </c>
      <c r="R55" s="200"/>
      <c r="S55" s="97"/>
      <c r="T55" s="91"/>
      <c r="U55" s="85"/>
      <c r="V55" s="98"/>
      <c r="W55" s="85"/>
      <c r="X55" s="85"/>
      <c r="Y55" s="85"/>
      <c r="Z55" s="85"/>
      <c r="AA55" s="85"/>
      <c r="AB55" s="85"/>
      <c r="AC55" s="83">
        <f t="shared" si="27"/>
        <v>1000</v>
      </c>
    </row>
    <row r="56" spans="1:29" ht="15" customHeight="1">
      <c r="A56" s="93">
        <v>1621000750</v>
      </c>
      <c r="B56" s="109" t="str">
        <f t="shared" si="14"/>
        <v>750</v>
      </c>
      <c r="C56" s="109" t="str">
        <f t="shared" si="26"/>
        <v>621000</v>
      </c>
      <c r="D56" s="93" t="s">
        <v>402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>
        <f>VLOOKUP(A:A,'[1]דוח כספי 31.10'!A:J,9,0)</f>
        <v>142000</v>
      </c>
      <c r="P56" s="95">
        <f>VLOOKUP(A:A,'[1]דוח כספי 31.10'!A:D,4,0)</f>
        <v>93447</v>
      </c>
      <c r="Q56" s="95">
        <v>145000</v>
      </c>
      <c r="R56" s="200"/>
      <c r="S56" s="97"/>
      <c r="T56" s="91"/>
      <c r="U56" s="85"/>
      <c r="V56" s="98"/>
      <c r="W56" s="85"/>
      <c r="X56" s="85"/>
      <c r="Y56" s="85"/>
      <c r="Z56" s="85"/>
      <c r="AA56" s="85"/>
      <c r="AB56" s="85"/>
      <c r="AC56" s="83">
        <f t="shared" si="27"/>
        <v>48553</v>
      </c>
    </row>
    <row r="57" spans="1:29" ht="17.25" customHeight="1">
      <c r="A57" s="93">
        <v>1621100110</v>
      </c>
      <c r="B57" s="109" t="str">
        <f t="shared" si="14"/>
        <v>110</v>
      </c>
      <c r="C57" s="109" t="str">
        <f t="shared" si="26"/>
        <v>621100</v>
      </c>
      <c r="D57" s="93" t="s">
        <v>403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>
        <f>VLOOKUP(A:A,'[1]דוח כספי 31.10'!A:J,9,0)</f>
        <v>0</v>
      </c>
      <c r="P57" s="95">
        <f>VLOOKUP(A:A,'[1]דוח כספי 31.10'!A:D,4,0)</f>
        <v>0</v>
      </c>
      <c r="Q57" s="95">
        <f t="shared" ref="Q57:Q67" si="29">P57/9*12</f>
        <v>0</v>
      </c>
      <c r="R57" s="200"/>
      <c r="S57" s="97"/>
      <c r="T57" s="91"/>
      <c r="U57" s="85"/>
      <c r="V57" s="98"/>
      <c r="W57" s="85"/>
      <c r="X57" s="85"/>
      <c r="Y57" s="85"/>
      <c r="Z57" s="85"/>
      <c r="AA57" s="85"/>
      <c r="AB57" s="85"/>
      <c r="AC57"/>
    </row>
    <row r="58" spans="1:29" ht="15" customHeight="1">
      <c r="A58" s="93">
        <v>1621100523</v>
      </c>
      <c r="B58" s="109" t="str">
        <f t="shared" si="14"/>
        <v>523</v>
      </c>
      <c r="C58" s="109" t="str">
        <f t="shared" si="26"/>
        <v>621100</v>
      </c>
      <c r="D58" s="93" t="s">
        <v>404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>
        <f>VLOOKUP(A:A,'[1]דוח כספי 31.10'!A:J,9,0)</f>
        <v>0</v>
      </c>
      <c r="P58" s="95">
        <f>VLOOKUP(A:A,'[1]דוח כספי 31.10'!A:D,4,0)</f>
        <v>0</v>
      </c>
      <c r="Q58" s="95">
        <f t="shared" ref="Q58:Q59" si="30">P58/10*12</f>
        <v>0</v>
      </c>
      <c r="R58" s="200"/>
      <c r="S58" s="97"/>
      <c r="T58" s="91"/>
      <c r="U58" s="85"/>
      <c r="V58" s="98"/>
      <c r="W58" s="85"/>
      <c r="X58" s="85"/>
      <c r="Y58" s="85"/>
      <c r="Z58" s="85"/>
      <c r="AA58" s="85"/>
      <c r="AB58" s="85"/>
      <c r="AC58" s="83">
        <f t="shared" ref="AC58:AC59" si="31">O58-P58</f>
        <v>0</v>
      </c>
    </row>
    <row r="59" spans="1:29" ht="18.75" customHeight="1">
      <c r="A59" s="93">
        <v>1621100810</v>
      </c>
      <c r="B59" s="109" t="str">
        <f t="shared" si="14"/>
        <v>810</v>
      </c>
      <c r="C59" s="109" t="str">
        <f t="shared" si="26"/>
        <v>621100</v>
      </c>
      <c r="D59" s="93" t="s">
        <v>405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>
        <f>VLOOKUP(A:A,'[1]דוח כספי 31.10'!A:J,9,0)</f>
        <v>0</v>
      </c>
      <c r="P59" s="95">
        <f>VLOOKUP(A:A,'[1]דוח כספי 31.10'!A:D,4,0)</f>
        <v>0</v>
      </c>
      <c r="Q59" s="95">
        <f t="shared" si="30"/>
        <v>0</v>
      </c>
      <c r="R59" s="200"/>
      <c r="S59" s="97"/>
      <c r="T59" s="91"/>
      <c r="U59" s="85"/>
      <c r="V59" s="98"/>
      <c r="W59" s="85"/>
      <c r="X59" s="85"/>
      <c r="Y59" s="85"/>
      <c r="Z59" s="85"/>
      <c r="AA59" s="85"/>
      <c r="AB59" s="85"/>
      <c r="AC59" s="83">
        <f t="shared" si="31"/>
        <v>0</v>
      </c>
    </row>
    <row r="60" spans="1:29" ht="18.75" customHeight="1">
      <c r="A60" s="93">
        <v>1621130110</v>
      </c>
      <c r="B60" s="109" t="str">
        <f t="shared" si="14"/>
        <v>110</v>
      </c>
      <c r="C60" s="109" t="str">
        <f t="shared" si="26"/>
        <v>621130</v>
      </c>
      <c r="D60" s="93" t="s">
        <v>406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>
        <f>VLOOKUP(A:A,'[1]דוח כספי 31.10'!A:J,9,0)</f>
        <v>129000</v>
      </c>
      <c r="P60" s="95">
        <f>VLOOKUP(A:A,'[1]דוח כספי 31.10'!A:D,4,0)</f>
        <v>95161.8</v>
      </c>
      <c r="Q60" s="95">
        <v>137000</v>
      </c>
      <c r="R60" s="200"/>
      <c r="S60" s="97"/>
      <c r="T60" s="91"/>
      <c r="U60" s="85"/>
      <c r="V60" s="98"/>
      <c r="W60" s="85"/>
      <c r="X60" s="85"/>
      <c r="Y60" s="85"/>
      <c r="Z60" s="85"/>
      <c r="AA60" s="85"/>
      <c r="AB60" s="85"/>
      <c r="AC60"/>
    </row>
    <row r="61" spans="1:29" ht="18.75" customHeight="1">
      <c r="A61" s="93">
        <v>1621300110</v>
      </c>
      <c r="B61" s="109" t="str">
        <f t="shared" si="14"/>
        <v>110</v>
      </c>
      <c r="C61" s="109" t="str">
        <f t="shared" si="26"/>
        <v>621300</v>
      </c>
      <c r="D61" s="93" t="s">
        <v>353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>
        <f>VLOOKUP(A:A,'[1]דוח כספי 31.10'!A:J,9,0)</f>
        <v>142000</v>
      </c>
      <c r="P61" s="95">
        <f>VLOOKUP(A:A,'[1]דוח כספי 31.10'!A:D,4,0)</f>
        <v>130477.56</v>
      </c>
      <c r="Q61" s="95">
        <v>172000</v>
      </c>
      <c r="R61" s="200"/>
      <c r="S61" s="97"/>
      <c r="T61" s="91"/>
      <c r="U61" s="85"/>
      <c r="V61" s="98"/>
      <c r="W61" s="85"/>
      <c r="X61" s="85"/>
      <c r="Y61" s="85"/>
      <c r="Z61" s="85"/>
      <c r="AA61" s="85"/>
      <c r="AB61" s="85"/>
      <c r="AC61"/>
    </row>
    <row r="62" spans="1:29" ht="15" customHeight="1">
      <c r="A62" s="93">
        <v>1621300521</v>
      </c>
      <c r="B62" s="109" t="str">
        <f t="shared" si="14"/>
        <v>521</v>
      </c>
      <c r="C62" s="109" t="str">
        <f t="shared" si="26"/>
        <v>621300</v>
      </c>
      <c r="D62" s="93" t="s">
        <v>357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>
        <f>VLOOKUP(A:A,'[1]דוח כספי 31.10'!A:J,9,0)</f>
        <v>4000</v>
      </c>
      <c r="P62" s="95">
        <f>VLOOKUP(A:A,'[1]דוח כספי 31.10'!A:D,4,0)</f>
        <v>0</v>
      </c>
      <c r="Q62" s="95">
        <f t="shared" ref="Q62" si="32">P62/10*12</f>
        <v>0</v>
      </c>
      <c r="R62" s="200"/>
      <c r="S62" s="97"/>
      <c r="T62" s="91"/>
      <c r="U62" s="85"/>
      <c r="V62" s="98"/>
      <c r="W62" s="85"/>
      <c r="X62" s="85"/>
      <c r="Y62" s="85"/>
      <c r="Z62" s="85"/>
      <c r="AA62" s="85"/>
      <c r="AB62" s="85"/>
      <c r="AC62" s="83">
        <f t="shared" ref="AC62:AC63" si="33">O62-P62</f>
        <v>4000</v>
      </c>
    </row>
    <row r="63" spans="1:29" ht="15" customHeight="1">
      <c r="A63" s="93">
        <v>1621300570</v>
      </c>
      <c r="B63" s="109" t="str">
        <f t="shared" si="14"/>
        <v>570</v>
      </c>
      <c r="C63" s="109" t="str">
        <f t="shared" si="26"/>
        <v>621300</v>
      </c>
      <c r="D63" s="93" t="s">
        <v>407</v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>
        <f>VLOOKUP(A:A,'[1]דוח כספי 31.10'!A:J,9,0)</f>
        <v>261000</v>
      </c>
      <c r="P63" s="95">
        <f>VLOOKUP(A:A,'[1]דוח כספי 31.10'!A:D,4,0)</f>
        <v>228885.87</v>
      </c>
      <c r="Q63" s="95">
        <v>305000</v>
      </c>
      <c r="R63" s="200"/>
      <c r="S63" s="97"/>
      <c r="T63" s="91"/>
      <c r="U63" s="85"/>
      <c r="V63" s="98"/>
      <c r="W63" s="85"/>
      <c r="X63" s="85"/>
      <c r="Y63" s="85"/>
      <c r="Z63" s="85"/>
      <c r="AA63" s="85"/>
      <c r="AB63" s="85"/>
      <c r="AC63" s="83">
        <f t="shared" si="33"/>
        <v>32114.130000000005</v>
      </c>
    </row>
    <row r="64" spans="1:29" ht="16.5" customHeight="1">
      <c r="A64" s="93">
        <v>1621500110</v>
      </c>
      <c r="B64" s="109" t="str">
        <f t="shared" si="14"/>
        <v>110</v>
      </c>
      <c r="C64" s="109" t="str">
        <f t="shared" si="26"/>
        <v>621500</v>
      </c>
      <c r="D64" s="93" t="s">
        <v>408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>
        <f>VLOOKUP(A:A,'[1]דוח כספי 31.10'!A:J,9,0)</f>
        <v>100000</v>
      </c>
      <c r="P64" s="95">
        <f>VLOOKUP(A:A,'[1]דוח כספי 31.10'!A:D,4,0)</f>
        <v>74893.94</v>
      </c>
      <c r="Q64" s="95">
        <v>100000</v>
      </c>
      <c r="R64" s="200"/>
      <c r="S64" s="97"/>
      <c r="T64" s="91"/>
      <c r="U64" s="85"/>
      <c r="V64" s="98"/>
      <c r="W64" s="85"/>
      <c r="X64" s="85"/>
      <c r="Y64" s="85"/>
      <c r="Z64" s="85"/>
      <c r="AA64" s="85"/>
      <c r="AB64" s="85"/>
      <c r="AC64"/>
    </row>
    <row r="65" spans="1:29" ht="19.5" customHeight="1">
      <c r="A65" s="93">
        <v>1621600110</v>
      </c>
      <c r="B65" s="109" t="str">
        <f t="shared" si="14"/>
        <v>110</v>
      </c>
      <c r="C65" s="109" t="str">
        <f t="shared" si="26"/>
        <v>621600</v>
      </c>
      <c r="D65" s="93" t="s">
        <v>409</v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>
        <f>VLOOKUP(A:A,'[1]דוח כספי 31.10'!A:J,9,0)</f>
        <v>0</v>
      </c>
      <c r="P65" s="95">
        <f>VLOOKUP(A:A,'[1]דוח כספי 31.10'!A:D,4,0)</f>
        <v>0</v>
      </c>
      <c r="Q65" s="95">
        <f t="shared" si="29"/>
        <v>0</v>
      </c>
      <c r="R65" s="200"/>
      <c r="S65" s="97"/>
      <c r="T65" s="91"/>
      <c r="U65" s="85"/>
      <c r="V65" s="98"/>
      <c r="W65" s="85"/>
      <c r="X65" s="85"/>
      <c r="Y65" s="85"/>
      <c r="Z65" s="85"/>
      <c r="AA65" s="85"/>
      <c r="AB65" s="85"/>
      <c r="AC65"/>
    </row>
    <row r="66" spans="1:29" ht="15" customHeight="1">
      <c r="A66" s="206"/>
      <c r="B66" s="201"/>
      <c r="C66" s="201"/>
      <c r="D66" s="202" t="s">
        <v>411</v>
      </c>
      <c r="E66" s="203" t="e">
        <f>SUM(#REF!)</f>
        <v>#REF!</v>
      </c>
      <c r="F66" s="203" t="e">
        <f>SUM(#REF!)</f>
        <v>#REF!</v>
      </c>
      <c r="G66" s="203" t="e">
        <f>SUM(#REF!)</f>
        <v>#REF!</v>
      </c>
      <c r="H66" s="203" t="e">
        <f>SUM(#REF!)</f>
        <v>#REF!</v>
      </c>
      <c r="I66" s="203" t="e">
        <f>SUM(#REF!)</f>
        <v>#REF!</v>
      </c>
      <c r="J66" s="203" t="e">
        <f>SUM(#REF!)</f>
        <v>#REF!</v>
      </c>
      <c r="K66" s="203" t="e">
        <f>SUM(#REF!)</f>
        <v>#REF!</v>
      </c>
      <c r="L66" s="203" t="e">
        <f>SUM(#REF!)</f>
        <v>#REF!</v>
      </c>
      <c r="M66" s="203" t="e">
        <f>SUM(#REF!)</f>
        <v>#REF!</v>
      </c>
      <c r="N66" s="203" t="e">
        <f>SUM(#REF!)</f>
        <v>#REF!</v>
      </c>
      <c r="O66" s="203">
        <f>SUM(O53:O65)</f>
        <v>1468000</v>
      </c>
      <c r="P66" s="203">
        <f t="shared" ref="P66:R66" si="34">SUM(P53:P65)</f>
        <v>1146825.44</v>
      </c>
      <c r="Q66" s="203">
        <f t="shared" si="34"/>
        <v>1552000</v>
      </c>
      <c r="R66" s="203">
        <f t="shared" si="34"/>
        <v>0</v>
      </c>
      <c r="S66" s="205"/>
      <c r="T66" s="91"/>
      <c r="U66" s="85">
        <f>IF(ISBLANK(A66),1,--OR(K66&gt;1,L66&gt;1,M66&gt;1))</f>
        <v>1</v>
      </c>
      <c r="V66" s="98">
        <v>0</v>
      </c>
      <c r="W66" s="85"/>
      <c r="X66" s="85"/>
      <c r="Y66" s="85"/>
      <c r="Z66" s="85"/>
      <c r="AA66" s="85"/>
      <c r="AB66" s="85"/>
      <c r="AC66" s="83">
        <f>O66-P66</f>
        <v>321174.56000000006</v>
      </c>
    </row>
    <row r="67" spans="1:29" ht="21" customHeight="1">
      <c r="A67" s="93">
        <v>1623000110</v>
      </c>
      <c r="B67" s="109" t="str">
        <f t="shared" si="14"/>
        <v>110</v>
      </c>
      <c r="C67" s="109" t="str">
        <f t="shared" ref="C67:C69" si="35">MID(A67,2,6)</f>
        <v>623000</v>
      </c>
      <c r="D67" s="93" t="s">
        <v>353</v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>
        <f>VLOOKUP(A:A,'[1]דוח כספי 31.10'!A:J,9,0)</f>
        <v>0</v>
      </c>
      <c r="P67" s="95">
        <f>VLOOKUP(A:A,'[1]דוח כספי 31.10'!A:D,4,0)</f>
        <v>0</v>
      </c>
      <c r="Q67" s="95">
        <f t="shared" si="29"/>
        <v>0</v>
      </c>
      <c r="R67" s="200"/>
      <c r="S67" s="97"/>
      <c r="T67" s="91"/>
      <c r="U67" s="85"/>
      <c r="V67" s="98"/>
      <c r="W67" s="85"/>
      <c r="X67" s="85"/>
      <c r="Y67" s="85"/>
      <c r="Z67" s="85"/>
      <c r="AA67" s="85"/>
      <c r="AB67" s="85"/>
      <c r="AC67"/>
    </row>
    <row r="68" spans="1:29" ht="15" customHeight="1">
      <c r="A68" s="93">
        <v>1623000750</v>
      </c>
      <c r="B68" s="109" t="str">
        <f t="shared" si="14"/>
        <v>750</v>
      </c>
      <c r="C68" s="109" t="str">
        <f t="shared" si="35"/>
        <v>623000</v>
      </c>
      <c r="D68" s="93" t="s">
        <v>412</v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>
        <f>VLOOKUP(A:A,'[1]דוח כספי 31.10'!A:J,9,0)</f>
        <v>550000</v>
      </c>
      <c r="P68" s="95">
        <f>VLOOKUP(A:A,'[1]דוח כספי 31.10'!A:D,4,0)</f>
        <v>355922.14</v>
      </c>
      <c r="Q68" s="95">
        <v>550000</v>
      </c>
      <c r="R68" s="200"/>
      <c r="S68" s="97"/>
      <c r="T68" s="91"/>
      <c r="U68" s="85"/>
      <c r="V68" s="98"/>
      <c r="W68" s="85"/>
      <c r="X68" s="85"/>
      <c r="Y68" s="85"/>
      <c r="Z68" s="85"/>
      <c r="AA68" s="85"/>
      <c r="AB68" s="85"/>
      <c r="AC68" s="83">
        <f>O68-P68</f>
        <v>194077.86</v>
      </c>
    </row>
    <row r="69" spans="1:29" ht="20.25" customHeight="1">
      <c r="A69" s="93">
        <v>1623100110</v>
      </c>
      <c r="B69" s="109" t="str">
        <f t="shared" si="14"/>
        <v>110</v>
      </c>
      <c r="C69" s="109" t="str">
        <f t="shared" si="35"/>
        <v>623100</v>
      </c>
      <c r="D69" s="93" t="s">
        <v>413</v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>
        <f>VLOOKUP(A:A,'[1]דוח כספי 31.10'!A:J,9,0)</f>
        <v>67000</v>
      </c>
      <c r="P69" s="95">
        <f>VLOOKUP(A:A,'[1]דוח כספי 31.10'!A:D,4,0)</f>
        <v>88423.46</v>
      </c>
      <c r="Q69" s="95">
        <v>118000</v>
      </c>
      <c r="R69" s="200"/>
      <c r="S69" s="97"/>
      <c r="T69" s="91"/>
      <c r="U69" s="85"/>
      <c r="V69" s="98"/>
      <c r="W69" s="85"/>
      <c r="X69" s="85"/>
      <c r="Y69" s="85"/>
      <c r="Z69" s="85"/>
      <c r="AA69" s="85"/>
      <c r="AB69" s="85"/>
      <c r="AC69"/>
    </row>
    <row r="70" spans="1:29" ht="15" customHeight="1">
      <c r="A70" s="206"/>
      <c r="B70" s="201"/>
      <c r="C70" s="201"/>
      <c r="D70" s="202" t="s">
        <v>414</v>
      </c>
      <c r="E70" s="203" t="e">
        <f>SUM(#REF!)</f>
        <v>#REF!</v>
      </c>
      <c r="F70" s="203" t="e">
        <f>SUM(#REF!)</f>
        <v>#REF!</v>
      </c>
      <c r="G70" s="203" t="e">
        <f>SUM(#REF!)</f>
        <v>#REF!</v>
      </c>
      <c r="H70" s="203" t="e">
        <f>SUM(#REF!)</f>
        <v>#REF!</v>
      </c>
      <c r="I70" s="203" t="e">
        <f>SUM(#REF!)</f>
        <v>#REF!</v>
      </c>
      <c r="J70" s="203" t="e">
        <f>SUM(#REF!)</f>
        <v>#REF!</v>
      </c>
      <c r="K70" s="203" t="e">
        <f>SUM(#REF!)</f>
        <v>#REF!</v>
      </c>
      <c r="L70" s="203" t="e">
        <f>SUM(#REF!)</f>
        <v>#REF!</v>
      </c>
      <c r="M70" s="203" t="e">
        <f>SUM(#REF!)</f>
        <v>#REF!</v>
      </c>
      <c r="N70" s="203" t="e">
        <f>SUM(#REF!)</f>
        <v>#REF!</v>
      </c>
      <c r="O70" s="203">
        <f>SUM(O67:O69)</f>
        <v>617000</v>
      </c>
      <c r="P70" s="203">
        <f t="shared" ref="P70:R70" si="36">SUM(P67:P69)</f>
        <v>444345.60000000003</v>
      </c>
      <c r="Q70" s="203">
        <f t="shared" si="36"/>
        <v>668000</v>
      </c>
      <c r="R70" s="203">
        <f t="shared" si="36"/>
        <v>0</v>
      </c>
      <c r="S70" s="205"/>
      <c r="T70" s="91"/>
      <c r="U70" s="85">
        <f>IF(ISBLANK(A70),1,--OR(K70&gt;1,L70&gt;1,M70&gt;1))</f>
        <v>1</v>
      </c>
      <c r="V70" s="98">
        <v>0</v>
      </c>
      <c r="W70" s="85"/>
      <c r="X70" s="85"/>
      <c r="Y70" s="85"/>
      <c r="Z70" s="85"/>
      <c r="AA70" s="85"/>
      <c r="AB70" s="85"/>
      <c r="AC70" s="83">
        <f t="shared" ref="AC70:AC80" si="37">O70-P70</f>
        <v>172654.39999999997</v>
      </c>
    </row>
    <row r="71" spans="1:29" ht="15" customHeight="1">
      <c r="A71" s="93">
        <v>1631000610</v>
      </c>
      <c r="B71" s="109" t="str">
        <f t="shared" si="14"/>
        <v>610</v>
      </c>
      <c r="C71" s="109" t="str">
        <f t="shared" ref="C71:C72" si="38">MID(A71,2,6)</f>
        <v>631000</v>
      </c>
      <c r="D71" s="93" t="s">
        <v>415</v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>
        <f>VLOOKUP(A:A,'[1]דוח כספי 31.10'!A:J,9,0)</f>
        <v>147000</v>
      </c>
      <c r="P71" s="95">
        <f>VLOOKUP(A:A,'[1]דוח כספי 31.10'!A:D,4,0)</f>
        <v>135553.54</v>
      </c>
      <c r="Q71" s="95">
        <v>163000</v>
      </c>
      <c r="R71" s="200"/>
      <c r="S71" s="97"/>
      <c r="T71" s="91"/>
      <c r="U71" s="85"/>
      <c r="V71" s="98"/>
      <c r="W71" s="85"/>
      <c r="X71" s="85"/>
      <c r="Y71" s="85"/>
      <c r="Z71" s="85"/>
      <c r="AA71" s="85"/>
      <c r="AB71" s="85"/>
      <c r="AC71" s="83">
        <f t="shared" si="37"/>
        <v>11446.459999999992</v>
      </c>
    </row>
    <row r="72" spans="1:29" ht="15" customHeight="1">
      <c r="A72" s="93">
        <v>1632000620</v>
      </c>
      <c r="B72" s="109" t="str">
        <f t="shared" si="14"/>
        <v>620</v>
      </c>
      <c r="C72" s="109" t="str">
        <f t="shared" si="38"/>
        <v>632000</v>
      </c>
      <c r="D72" s="93" t="s">
        <v>416</v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>
        <f>VLOOKUP(A:A,'[1]דוח כספי 31.10'!A:J,9,0)</f>
        <v>3000</v>
      </c>
      <c r="P72" s="95"/>
      <c r="Q72" s="95"/>
      <c r="R72" s="200"/>
      <c r="S72" s="97"/>
      <c r="T72" s="91"/>
      <c r="U72" s="85"/>
      <c r="V72" s="98"/>
      <c r="W72" s="85"/>
      <c r="X72" s="85"/>
      <c r="Y72" s="85"/>
      <c r="Z72" s="85"/>
      <c r="AA72" s="85"/>
      <c r="AB72" s="85"/>
      <c r="AC72" s="83">
        <f t="shared" si="37"/>
        <v>3000</v>
      </c>
    </row>
    <row r="73" spans="1:29" ht="15" customHeight="1">
      <c r="A73" s="206"/>
      <c r="B73" s="201"/>
      <c r="C73" s="201"/>
      <c r="D73" s="202" t="s">
        <v>417</v>
      </c>
      <c r="E73" s="203" t="e">
        <f>SUM(#REF!)</f>
        <v>#REF!</v>
      </c>
      <c r="F73" s="203" t="e">
        <f>SUM(#REF!)</f>
        <v>#REF!</v>
      </c>
      <c r="G73" s="203" t="e">
        <f>SUM(#REF!)</f>
        <v>#REF!</v>
      </c>
      <c r="H73" s="203" t="e">
        <f>SUM(#REF!)</f>
        <v>#REF!</v>
      </c>
      <c r="I73" s="203" t="e">
        <f>SUM(#REF!)</f>
        <v>#REF!</v>
      </c>
      <c r="J73" s="203" t="e">
        <f>SUM(#REF!)</f>
        <v>#REF!</v>
      </c>
      <c r="K73" s="203" t="e">
        <f>SUM(#REF!)</f>
        <v>#REF!</v>
      </c>
      <c r="L73" s="203" t="e">
        <f>SUM(#REF!)</f>
        <v>#REF!</v>
      </c>
      <c r="M73" s="203" t="e">
        <f>SUM(#REF!)</f>
        <v>#REF!</v>
      </c>
      <c r="N73" s="203" t="e">
        <f>SUM(#REF!)</f>
        <v>#REF!</v>
      </c>
      <c r="O73" s="203">
        <f>SUM(O71:O72)</f>
        <v>150000</v>
      </c>
      <c r="P73" s="203">
        <f t="shared" ref="P73:Q73" si="39">SUM(P71:P72)</f>
        <v>135553.54</v>
      </c>
      <c r="Q73" s="203">
        <f t="shared" si="39"/>
        <v>163000</v>
      </c>
      <c r="R73" s="203">
        <f>SUM(R71:R72)</f>
        <v>0</v>
      </c>
      <c r="S73" s="203" t="e">
        <f>SUM(#REF!)</f>
        <v>#REF!</v>
      </c>
      <c r="T73" s="203" t="e">
        <f>SUM(#REF!)</f>
        <v>#REF!</v>
      </c>
      <c r="U73" s="85">
        <f>IF(ISBLANK(A73),1,--OR(K73&gt;1,L73&gt;1,M73&gt;1))</f>
        <v>1</v>
      </c>
      <c r="V73" s="98">
        <v>0</v>
      </c>
      <c r="W73" s="85"/>
      <c r="X73" s="85"/>
      <c r="Y73" s="85"/>
      <c r="Z73" s="85"/>
      <c r="AA73" s="85"/>
      <c r="AB73" s="85"/>
      <c r="AC73" s="83">
        <f t="shared" si="37"/>
        <v>14446.459999999992</v>
      </c>
    </row>
    <row r="74" spans="1:29" ht="15" customHeight="1">
      <c r="A74" s="93">
        <v>1649100691</v>
      </c>
      <c r="B74" s="109" t="str">
        <f t="shared" si="14"/>
        <v>691</v>
      </c>
      <c r="C74" s="109" t="str">
        <f t="shared" ref="C74:C76" si="40">MID(A74,2,6)</f>
        <v>649100</v>
      </c>
      <c r="D74" s="93" t="s">
        <v>418</v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>
        <f>VLOOKUP(A:A,'[1]דוח כספי 31.10'!A:J,9,0)</f>
        <v>276000</v>
      </c>
      <c r="P74" s="95">
        <f>VLOOKUP(A:A,'[1]דוח כספי 31.10'!A:D,4,0)</f>
        <v>207347.14</v>
      </c>
      <c r="Q74" s="95">
        <v>276000</v>
      </c>
      <c r="R74" s="200"/>
      <c r="S74" s="97"/>
      <c r="T74" s="91"/>
      <c r="U74" s="85"/>
      <c r="V74" s="98"/>
      <c r="W74" s="85"/>
      <c r="X74" s="85"/>
      <c r="Y74" s="85"/>
      <c r="Z74" s="85"/>
      <c r="AA74" s="85"/>
      <c r="AB74" s="85"/>
      <c r="AC74" s="83">
        <f t="shared" si="37"/>
        <v>68652.859999999986</v>
      </c>
    </row>
    <row r="75" spans="1:29" ht="15" customHeight="1">
      <c r="A75" s="93">
        <v>1649100692</v>
      </c>
      <c r="B75" s="109" t="str">
        <f t="shared" si="14"/>
        <v>692</v>
      </c>
      <c r="C75" s="109" t="str">
        <f t="shared" si="40"/>
        <v>649100</v>
      </c>
      <c r="D75" s="93" t="s">
        <v>419</v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>
        <f>VLOOKUP(A:A,'[1]דוח כספי 31.10'!A:J,9,0)</f>
        <v>80000</v>
      </c>
      <c r="P75" s="95">
        <f>VLOOKUP(A:A,'[1]דוח כספי 31.10'!A:D,4,0)</f>
        <v>48605.18</v>
      </c>
      <c r="Q75" s="95">
        <v>80000</v>
      </c>
      <c r="R75" s="200"/>
      <c r="S75" s="97"/>
      <c r="T75" s="91"/>
      <c r="U75" s="85"/>
      <c r="V75" s="98"/>
      <c r="W75" s="85"/>
      <c r="X75" s="85"/>
      <c r="Y75" s="85"/>
      <c r="Z75" s="85"/>
      <c r="AA75" s="85"/>
      <c r="AB75" s="85"/>
      <c r="AC75" s="83">
        <f t="shared" si="37"/>
        <v>31394.82</v>
      </c>
    </row>
    <row r="76" spans="1:29" ht="15" customHeight="1">
      <c r="A76" s="93">
        <v>1649100693</v>
      </c>
      <c r="B76" s="109" t="str">
        <f t="shared" si="14"/>
        <v>693</v>
      </c>
      <c r="C76" s="109" t="str">
        <f t="shared" si="40"/>
        <v>649100</v>
      </c>
      <c r="D76" s="93" t="s">
        <v>420</v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>
        <f>VLOOKUP(A:A,'[1]דוח כספי 31.10'!A:J,9,0)</f>
        <v>32000</v>
      </c>
      <c r="P76" s="95">
        <f>VLOOKUP(A:A,'[1]דוח כספי 31.10'!A:D,4,0)</f>
        <v>24062.61</v>
      </c>
      <c r="Q76" s="95">
        <v>32000</v>
      </c>
      <c r="R76" s="200"/>
      <c r="S76" s="97"/>
      <c r="T76" s="91"/>
      <c r="U76" s="85"/>
      <c r="V76" s="98"/>
      <c r="W76" s="85"/>
      <c r="X76" s="85"/>
      <c r="Y76" s="85"/>
      <c r="Z76" s="85"/>
      <c r="AA76" s="85"/>
      <c r="AB76" s="85"/>
      <c r="AC76" s="83">
        <f t="shared" si="37"/>
        <v>7937.3899999999994</v>
      </c>
    </row>
    <row r="77" spans="1:29" ht="15" customHeight="1">
      <c r="A77" s="206"/>
      <c r="B77" s="201"/>
      <c r="C77" s="201"/>
      <c r="D77" s="202" t="s">
        <v>421</v>
      </c>
      <c r="E77" s="203" t="e">
        <f>SUM(#REF!)</f>
        <v>#REF!</v>
      </c>
      <c r="F77" s="203" t="e">
        <f>SUM(#REF!)</f>
        <v>#REF!</v>
      </c>
      <c r="G77" s="203" t="e">
        <f>SUM(#REF!)</f>
        <v>#REF!</v>
      </c>
      <c r="H77" s="203" t="e">
        <f>SUM(#REF!)</f>
        <v>#REF!</v>
      </c>
      <c r="I77" s="203" t="e">
        <f>SUM(#REF!)</f>
        <v>#REF!</v>
      </c>
      <c r="J77" s="203" t="e">
        <f>SUM(#REF!)</f>
        <v>#REF!</v>
      </c>
      <c r="K77" s="203" t="e">
        <f>SUM(#REF!)</f>
        <v>#REF!</v>
      </c>
      <c r="L77" s="203" t="e">
        <f>SUM(#REF!)</f>
        <v>#REF!</v>
      </c>
      <c r="M77" s="203" t="e">
        <f>SUM(#REF!)</f>
        <v>#REF!</v>
      </c>
      <c r="N77" s="203" t="e">
        <f>SUM(#REF!)</f>
        <v>#REF!</v>
      </c>
      <c r="O77" s="203">
        <f>SUM(O74:O76)</f>
        <v>388000</v>
      </c>
      <c r="P77" s="203">
        <f t="shared" ref="P77:R77" si="41">SUM(P74:P76)</f>
        <v>280014.93</v>
      </c>
      <c r="Q77" s="203">
        <f t="shared" si="41"/>
        <v>388000</v>
      </c>
      <c r="R77" s="203">
        <f t="shared" si="41"/>
        <v>0</v>
      </c>
      <c r="S77" s="205"/>
      <c r="T77" s="91"/>
      <c r="U77" s="85">
        <f>IF(ISBLANK(A77),1,--OR(K77&gt;1,L77&gt;1,M77&gt;1))</f>
        <v>1</v>
      </c>
      <c r="V77" s="98">
        <v>0</v>
      </c>
      <c r="W77" s="85"/>
      <c r="X77" s="85"/>
      <c r="Y77" s="85"/>
      <c r="Z77" s="85"/>
      <c r="AA77" s="85"/>
      <c r="AB77" s="85"/>
      <c r="AC77" s="83">
        <f t="shared" si="37"/>
        <v>107985.07</v>
      </c>
    </row>
    <row r="78" spans="1:29" ht="15" customHeight="1">
      <c r="A78" s="206"/>
      <c r="B78" s="211"/>
      <c r="C78" s="211"/>
      <c r="D78" s="212" t="s">
        <v>422</v>
      </c>
      <c r="E78" s="213" t="e">
        <f>E77+E73+E70+E66+E50+#REF!+E46+E26+E21</f>
        <v>#REF!</v>
      </c>
      <c r="F78" s="213" t="e">
        <f>F77+F73+F70+F66+F50+#REF!+F46+F26+F21</f>
        <v>#REF!</v>
      </c>
      <c r="G78" s="213" t="e">
        <f>G77+G73+G70+G66+G50+#REF!+G46+G26+G21</f>
        <v>#REF!</v>
      </c>
      <c r="H78" s="213" t="e">
        <f>H77+H73+H70+H66+H50+#REF!+H46+H26+H21</f>
        <v>#REF!</v>
      </c>
      <c r="I78" s="213" t="e">
        <f>I77+I73+I70+I66+I50+#REF!+I46+I26+I21</f>
        <v>#REF!</v>
      </c>
      <c r="J78" s="213" t="e">
        <f>J77+J73+J70+J66+J50+#REF!+J46+J26+J21</f>
        <v>#REF!</v>
      </c>
      <c r="K78" s="213" t="e">
        <f>K77+K73+K70+K66+K50+#REF!+K46+K26+K21</f>
        <v>#REF!</v>
      </c>
      <c r="L78" s="213" t="e">
        <f>L77+L73+L70+L66+L50+#REF!+L46+L26+L21</f>
        <v>#REF!</v>
      </c>
      <c r="M78" s="213" t="e">
        <f>M77+M73+M70+M66+M50+#REF!+M46+M26+M21</f>
        <v>#REF!</v>
      </c>
      <c r="N78" s="213" t="e">
        <f>N77+N73+N70+N66+N50+#REF!+N46+N26+N21</f>
        <v>#REF!</v>
      </c>
      <c r="O78" s="213">
        <f>O77+O73+O70+O66+O50++O46+O26+O21</f>
        <v>7224000</v>
      </c>
      <c r="P78" s="213">
        <f t="shared" ref="P78:R78" si="42">P77+P73+P70+P66+P50++P46+P26+P21</f>
        <v>6078833.0300000003</v>
      </c>
      <c r="Q78" s="213">
        <f t="shared" si="42"/>
        <v>7967000</v>
      </c>
      <c r="R78" s="213">
        <f t="shared" si="42"/>
        <v>0</v>
      </c>
      <c r="S78" s="214"/>
      <c r="T78" s="91"/>
      <c r="U78" s="85">
        <f>IF(ISBLANK(A78),1,--OR(K78&gt;1,L78&gt;1,M78&gt;1))</f>
        <v>1</v>
      </c>
      <c r="V78" s="98">
        <v>0</v>
      </c>
      <c r="W78" s="85"/>
      <c r="X78" s="85"/>
      <c r="Y78" s="85"/>
      <c r="Z78" s="85"/>
      <c r="AA78" s="85"/>
      <c r="AB78" s="85"/>
      <c r="AC78" s="83">
        <f t="shared" si="37"/>
        <v>1145166.9699999997</v>
      </c>
    </row>
    <row r="79" spans="1:29" ht="15" customHeight="1">
      <c r="A79" s="197"/>
      <c r="B79" s="87" t="s">
        <v>423</v>
      </c>
      <c r="C79" s="87"/>
      <c r="D79" s="87"/>
      <c r="E79" s="87"/>
      <c r="F79" s="87"/>
      <c r="G79" s="87"/>
      <c r="H79" s="88"/>
      <c r="I79" s="95"/>
      <c r="J79" s="124"/>
      <c r="K79" s="124"/>
      <c r="L79" s="124"/>
      <c r="M79" s="124"/>
      <c r="N79" s="95">
        <v>0</v>
      </c>
      <c r="O79" s="124"/>
      <c r="P79" s="124"/>
      <c r="Q79" s="95">
        <f t="shared" ref="Q79:Q80" si="43">P79/10*12</f>
        <v>0</v>
      </c>
      <c r="R79" s="198"/>
      <c r="S79" s="90"/>
      <c r="T79" s="91"/>
      <c r="U79" s="85">
        <f>IF(ISBLANK(A79),1,--OR(K79&gt;1,L79&gt;1,M79&gt;1))</f>
        <v>1</v>
      </c>
      <c r="V79" s="98">
        <f>+P79-M79</f>
        <v>0</v>
      </c>
      <c r="W79" s="85"/>
      <c r="X79" s="85"/>
      <c r="Y79" s="85"/>
      <c r="Z79" s="85"/>
      <c r="AA79" s="85"/>
      <c r="AB79" s="85"/>
      <c r="AC79" s="83">
        <f t="shared" si="37"/>
        <v>0</v>
      </c>
    </row>
    <row r="80" spans="1:29" ht="15" customHeight="1">
      <c r="A80" s="93">
        <v>1711000540</v>
      </c>
      <c r="B80" s="109" t="str">
        <f t="shared" ref="B80:B125" si="44">MID(A80,8,3)</f>
        <v>540</v>
      </c>
      <c r="C80" s="109" t="str">
        <f t="shared" ref="C80:C90" si="45">MID(A80,2,6)</f>
        <v>711000</v>
      </c>
      <c r="D80" s="93" t="s">
        <v>424</v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>
        <f>VLOOKUP(A:A,'[1]דוח כספי 31.10'!A:J,9,0)</f>
        <v>0</v>
      </c>
      <c r="P80" s="95">
        <f>VLOOKUP(A:A,'[1]דוח כספי 31.10'!A:D,4,0)</f>
        <v>0</v>
      </c>
      <c r="Q80" s="95">
        <f t="shared" si="43"/>
        <v>0</v>
      </c>
      <c r="R80" s="200"/>
      <c r="S80" s="97"/>
      <c r="T80" s="91"/>
      <c r="U80" s="85"/>
      <c r="V80" s="98"/>
      <c r="W80" s="85"/>
      <c r="X80" s="85"/>
      <c r="Y80" s="85"/>
      <c r="Z80" s="85"/>
      <c r="AA80" s="85"/>
      <c r="AB80" s="85"/>
      <c r="AC80" s="83">
        <f t="shared" si="37"/>
        <v>0</v>
      </c>
    </row>
    <row r="81" spans="1:30" ht="18.75" customHeight="1">
      <c r="A81" s="93">
        <v>1712200110</v>
      </c>
      <c r="B81" s="109" t="str">
        <f t="shared" si="44"/>
        <v>110</v>
      </c>
      <c r="C81" s="109" t="str">
        <f t="shared" si="45"/>
        <v>712200</v>
      </c>
      <c r="D81" s="93" t="s">
        <v>353</v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>
        <f>VLOOKUP(A:A,'[1]דוח כספי 31.10'!A:J,9,0)</f>
        <v>0</v>
      </c>
      <c r="P81" s="95">
        <f>VLOOKUP(A:A,'[1]דוח כספי 31.10'!A:D,4,0)</f>
        <v>18437.669999999998</v>
      </c>
      <c r="Q81" s="95">
        <v>40000</v>
      </c>
      <c r="R81" s="200"/>
      <c r="S81" s="97"/>
      <c r="T81" s="91"/>
      <c r="U81" s="85"/>
      <c r="V81" s="98"/>
      <c r="W81" s="85"/>
      <c r="X81" s="85"/>
      <c r="Y81" s="85"/>
      <c r="Z81" s="85"/>
      <c r="AA81" s="85"/>
      <c r="AB81" s="85"/>
      <c r="AC81"/>
    </row>
    <row r="82" spans="1:30" ht="15" customHeight="1">
      <c r="A82" s="93">
        <v>1712200750</v>
      </c>
      <c r="B82" s="109" t="str">
        <f t="shared" si="44"/>
        <v>750</v>
      </c>
      <c r="C82" s="109" t="str">
        <f t="shared" si="45"/>
        <v>712200</v>
      </c>
      <c r="D82" s="93" t="s">
        <v>402</v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>
        <f>VLOOKUP(A:A,'[1]דוח כספי 31.10'!A:J,9,0)</f>
        <v>0</v>
      </c>
      <c r="P82" s="95">
        <f>VLOOKUP(A:A,'[1]דוח כספי 31.10'!A:D,4,0)</f>
        <v>0</v>
      </c>
      <c r="Q82" s="95">
        <f t="shared" ref="Q82:Q85" si="46">P82/10*12</f>
        <v>0</v>
      </c>
      <c r="R82" s="200"/>
      <c r="S82" s="97"/>
      <c r="T82" s="91"/>
      <c r="U82" s="85"/>
      <c r="V82" s="98"/>
      <c r="W82" s="85"/>
      <c r="X82" s="85"/>
      <c r="Y82" s="85"/>
      <c r="Z82" s="85"/>
      <c r="AA82" s="85"/>
      <c r="AB82" s="85"/>
      <c r="AC82" s="83">
        <f t="shared" ref="AC82:AC85" si="47">O82-P82</f>
        <v>0</v>
      </c>
    </row>
    <row r="83" spans="1:30" ht="15" customHeight="1">
      <c r="A83" s="93">
        <v>1712220750</v>
      </c>
      <c r="B83" s="109" t="str">
        <f t="shared" si="44"/>
        <v>750</v>
      </c>
      <c r="C83" s="109" t="str">
        <f t="shared" si="45"/>
        <v>712220</v>
      </c>
      <c r="D83" s="93" t="s">
        <v>425</v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>
        <f>VLOOKUP(A:A,'[1]דוח כספי 31.10'!A:J,9,0)</f>
        <v>1000</v>
      </c>
      <c r="P83" s="95">
        <f>VLOOKUP(A:A,'[1]דוח כספי 31.10'!A:D,4,0)</f>
        <v>0</v>
      </c>
      <c r="Q83" s="95">
        <f t="shared" si="46"/>
        <v>0</v>
      </c>
      <c r="R83" s="200"/>
      <c r="S83" s="97"/>
      <c r="T83" s="91"/>
      <c r="U83" s="85"/>
      <c r="V83" s="98"/>
      <c r="W83" s="85"/>
      <c r="X83" s="85"/>
      <c r="Y83" s="85"/>
      <c r="Z83" s="85"/>
      <c r="AA83" s="85"/>
      <c r="AB83" s="85"/>
      <c r="AC83" s="83">
        <f t="shared" si="47"/>
        <v>1000</v>
      </c>
    </row>
    <row r="84" spans="1:30" ht="15" customHeight="1">
      <c r="A84" s="93">
        <v>1712300750</v>
      </c>
      <c r="B84" s="109" t="str">
        <f t="shared" si="44"/>
        <v>750</v>
      </c>
      <c r="C84" s="109" t="str">
        <f t="shared" si="45"/>
        <v>712300</v>
      </c>
      <c r="D84" s="93" t="s">
        <v>426</v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>
        <f>VLOOKUP(A:A,'[1]דוח כספי 31.10'!A:J,9,0)</f>
        <v>3075000</v>
      </c>
      <c r="P84" s="95">
        <f>VLOOKUP(A:A,'[1]דוח כספי 31.10'!A:D,4,0)</f>
        <v>2336708</v>
      </c>
      <c r="Q84" s="95">
        <v>3115000</v>
      </c>
      <c r="R84" s="200"/>
      <c r="S84" s="97"/>
      <c r="T84" s="91"/>
      <c r="U84" s="85"/>
      <c r="V84" s="98"/>
      <c r="W84" s="85"/>
      <c r="X84" s="85"/>
      <c r="Y84" s="85"/>
      <c r="Z84" s="85"/>
      <c r="AA84" s="85"/>
      <c r="AB84" s="85"/>
      <c r="AC84" s="83">
        <f t="shared" si="47"/>
        <v>738292</v>
      </c>
      <c r="AD84">
        <v>463000</v>
      </c>
    </row>
    <row r="85" spans="1:30" ht="15" customHeight="1">
      <c r="A85" s="93">
        <v>1712300932</v>
      </c>
      <c r="B85" s="109" t="str">
        <f t="shared" si="44"/>
        <v>932</v>
      </c>
      <c r="C85" s="109" t="str">
        <f t="shared" si="45"/>
        <v>712300</v>
      </c>
      <c r="D85" s="93" t="s">
        <v>427</v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>
        <f>VLOOKUP(A:A,'[1]דוח כספי 31.10'!A:J,9,0)</f>
        <v>4000</v>
      </c>
      <c r="P85" s="95">
        <f>VLOOKUP(A:A,'[1]דוח כספי 31.10'!A:D,4,0)</f>
        <v>0</v>
      </c>
      <c r="Q85" s="95">
        <f t="shared" si="46"/>
        <v>0</v>
      </c>
      <c r="R85" s="200"/>
      <c r="S85" s="97"/>
      <c r="T85" s="91"/>
      <c r="U85" s="85"/>
      <c r="V85" s="98"/>
      <c r="W85" s="85"/>
      <c r="X85" s="85"/>
      <c r="Y85" s="85"/>
      <c r="Z85" s="85"/>
      <c r="AA85" s="85"/>
      <c r="AB85" s="85"/>
      <c r="AC85" s="83">
        <f t="shared" si="47"/>
        <v>4000</v>
      </c>
    </row>
    <row r="86" spans="1:30" ht="15.75" customHeight="1">
      <c r="A86" s="93">
        <v>1713000110</v>
      </c>
      <c r="B86" s="109" t="str">
        <f t="shared" si="44"/>
        <v>110</v>
      </c>
      <c r="C86" s="109" t="str">
        <f t="shared" si="45"/>
        <v>713000</v>
      </c>
      <c r="D86" s="93" t="s">
        <v>428</v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>
        <f>VLOOKUP(A:A,'[1]דוח כספי 31.10'!A:J,9,0)</f>
        <v>119000</v>
      </c>
      <c r="P86" s="95">
        <f>VLOOKUP(A:A,'[1]דוח כספי 31.10'!A:D,4,0)</f>
        <v>95474.29</v>
      </c>
      <c r="Q86" s="95">
        <v>127000</v>
      </c>
      <c r="R86" s="200"/>
      <c r="S86" s="97"/>
      <c r="T86" s="91"/>
      <c r="U86" s="85"/>
      <c r="V86" s="98"/>
      <c r="W86" s="85"/>
      <c r="X86" s="85"/>
      <c r="Y86" s="85"/>
      <c r="Z86" s="85"/>
      <c r="AA86" s="85"/>
      <c r="AB86" s="85"/>
      <c r="AC86"/>
    </row>
    <row r="87" spans="1:30" ht="15" customHeight="1">
      <c r="A87" s="93">
        <v>1713100830</v>
      </c>
      <c r="B87" s="109" t="str">
        <f t="shared" si="44"/>
        <v>830</v>
      </c>
      <c r="C87" s="109" t="str">
        <f t="shared" si="45"/>
        <v>713100</v>
      </c>
      <c r="D87" s="93" t="s">
        <v>429</v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>
        <f>VLOOKUP(A:A,'[1]דוח כספי 31.10'!A:J,9,0)</f>
        <v>40000</v>
      </c>
      <c r="P87" s="95">
        <f>VLOOKUP(A:A,'[1]דוח כספי 31.10'!A:D,4,0)</f>
        <v>22144</v>
      </c>
      <c r="Q87" s="95">
        <v>40000</v>
      </c>
      <c r="R87" s="200"/>
      <c r="S87" s="97"/>
      <c r="T87" s="91"/>
      <c r="U87" s="85"/>
      <c r="V87" s="98"/>
      <c r="W87" s="85"/>
      <c r="X87" s="85"/>
      <c r="Y87" s="85"/>
      <c r="Z87" s="85"/>
      <c r="AA87" s="85"/>
      <c r="AB87" s="85"/>
      <c r="AC87" s="83">
        <f t="shared" ref="AC87:AC95" si="48">O87-P87</f>
        <v>17856</v>
      </c>
    </row>
    <row r="88" spans="1:30" ht="15" customHeight="1">
      <c r="A88" s="93">
        <v>1714200830</v>
      </c>
      <c r="B88" s="109" t="str">
        <f t="shared" si="44"/>
        <v>830</v>
      </c>
      <c r="C88" s="109" t="str">
        <f t="shared" si="45"/>
        <v>714200</v>
      </c>
      <c r="D88" s="93" t="s">
        <v>430</v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>
        <f>VLOOKUP(A:A,'[1]דוח כספי 31.10'!A:J,9,0)</f>
        <v>80000</v>
      </c>
      <c r="P88" s="95">
        <f>VLOOKUP(A:A,'[1]דוח כספי 31.10'!A:D,4,0)</f>
        <v>100968.5</v>
      </c>
      <c r="Q88" s="95">
        <v>80000</v>
      </c>
      <c r="R88" s="200"/>
      <c r="S88" s="97"/>
      <c r="T88" s="91"/>
      <c r="U88" s="85"/>
      <c r="V88" s="98"/>
      <c r="W88" s="85"/>
      <c r="X88" s="85"/>
      <c r="Y88" s="85"/>
      <c r="Z88" s="85"/>
      <c r="AA88" s="85"/>
      <c r="AB88" s="85"/>
      <c r="AC88" s="83">
        <f t="shared" si="48"/>
        <v>-20968.5</v>
      </c>
    </row>
    <row r="89" spans="1:30" ht="15" customHeight="1">
      <c r="A89" s="93">
        <v>1715000720</v>
      </c>
      <c r="B89" s="109" t="str">
        <f t="shared" si="44"/>
        <v>720</v>
      </c>
      <c r="C89" s="109" t="str">
        <f t="shared" si="45"/>
        <v>715000</v>
      </c>
      <c r="D89" s="93" t="s">
        <v>431</v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>
        <f>VLOOKUP(A:A,'[1]דוח כספי 31.10'!A:J,9,0)</f>
        <v>5000</v>
      </c>
      <c r="P89" s="95">
        <f>VLOOKUP(A:A,'[1]דוח כספי 31.10'!A:D,4,0)</f>
        <v>3907.8</v>
      </c>
      <c r="Q89" s="95">
        <v>5000</v>
      </c>
      <c r="R89" s="200"/>
      <c r="S89" s="97"/>
      <c r="T89" s="91"/>
      <c r="U89" s="85"/>
      <c r="V89" s="98"/>
      <c r="W89" s="85"/>
      <c r="X89" s="85"/>
      <c r="Y89" s="85"/>
      <c r="Z89" s="85"/>
      <c r="AA89" s="85"/>
      <c r="AB89" s="85"/>
      <c r="AC89" s="83">
        <f t="shared" si="48"/>
        <v>1092.1999999999998</v>
      </c>
    </row>
    <row r="90" spans="1:30" ht="15" customHeight="1">
      <c r="A90" s="93">
        <v>1715000840</v>
      </c>
      <c r="B90" s="109" t="str">
        <f t="shared" si="44"/>
        <v>840</v>
      </c>
      <c r="C90" s="109" t="str">
        <f t="shared" si="45"/>
        <v>715000</v>
      </c>
      <c r="D90" s="93" t="s">
        <v>432</v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>
        <f>VLOOKUP(A:A,'[1]דוח כספי 31.10'!A:J,9,0)</f>
        <v>94000</v>
      </c>
      <c r="P90" s="95">
        <f>VLOOKUP(A:A,'[1]דוח כספי 31.10'!A:D,4,0)</f>
        <v>0</v>
      </c>
      <c r="Q90" s="95">
        <v>94000</v>
      </c>
      <c r="R90" s="200"/>
      <c r="S90" s="97"/>
      <c r="T90" s="91"/>
      <c r="U90" s="85"/>
      <c r="V90" s="98"/>
      <c r="W90" s="85"/>
      <c r="X90" s="85"/>
      <c r="Y90" s="85"/>
      <c r="Z90" s="85"/>
      <c r="AA90" s="85"/>
      <c r="AB90" s="85"/>
      <c r="AC90" s="83">
        <f t="shared" si="48"/>
        <v>94000</v>
      </c>
    </row>
    <row r="91" spans="1:30" ht="15" customHeight="1">
      <c r="A91" s="206"/>
      <c r="B91" s="201"/>
      <c r="C91" s="201"/>
      <c r="D91" s="202" t="s">
        <v>433</v>
      </c>
      <c r="E91" s="203" t="e">
        <f>SUM(#REF!)</f>
        <v>#REF!</v>
      </c>
      <c r="F91" s="203" t="e">
        <f>SUM(#REF!)</f>
        <v>#REF!</v>
      </c>
      <c r="G91" s="203" t="e">
        <f>SUM(#REF!)</f>
        <v>#REF!</v>
      </c>
      <c r="H91" s="203" t="e">
        <f>SUM(#REF!)</f>
        <v>#REF!</v>
      </c>
      <c r="I91" s="203" t="e">
        <f>SUM(#REF!)</f>
        <v>#REF!</v>
      </c>
      <c r="J91" s="203" t="e">
        <f>SUM(#REF!)</f>
        <v>#REF!</v>
      </c>
      <c r="K91" s="203" t="e">
        <f>SUM(#REF!)</f>
        <v>#REF!</v>
      </c>
      <c r="L91" s="203" t="e">
        <f>SUM(#REF!)</f>
        <v>#REF!</v>
      </c>
      <c r="M91" s="203" t="e">
        <f>SUM(#REF!)</f>
        <v>#REF!</v>
      </c>
      <c r="N91" s="203" t="e">
        <f>SUM(#REF!)</f>
        <v>#REF!</v>
      </c>
      <c r="O91" s="203">
        <f>SUM(O80:O90)</f>
        <v>3418000</v>
      </c>
      <c r="P91" s="203">
        <f t="shared" ref="P91:R91" si="49">SUM(P80:P90)</f>
        <v>2577640.2599999998</v>
      </c>
      <c r="Q91" s="203">
        <f t="shared" si="49"/>
        <v>3501000</v>
      </c>
      <c r="R91" s="203">
        <f t="shared" si="49"/>
        <v>0</v>
      </c>
      <c r="S91" s="205"/>
      <c r="T91" s="91"/>
      <c r="U91" s="85">
        <f>IF(ISBLANK(A91),1,--OR(K91&gt;1,L91&gt;1,M91&gt;1))</f>
        <v>1</v>
      </c>
      <c r="V91" s="98">
        <v>0</v>
      </c>
      <c r="W91" s="85"/>
      <c r="X91" s="85"/>
      <c r="Y91" s="85"/>
      <c r="Z91" s="85"/>
      <c r="AA91" s="85"/>
      <c r="AB91" s="85"/>
      <c r="AC91" s="83">
        <f t="shared" si="48"/>
        <v>840359.74000000022</v>
      </c>
    </row>
    <row r="92" spans="1:30" ht="15" customHeight="1">
      <c r="A92" s="93">
        <v>1722000930</v>
      </c>
      <c r="B92" s="109" t="str">
        <f t="shared" si="44"/>
        <v>930</v>
      </c>
      <c r="C92" s="109" t="str">
        <f t="shared" ref="C92:C94" si="50">MID(A92,2,6)</f>
        <v>722000</v>
      </c>
      <c r="D92" s="93" t="s">
        <v>434</v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>
        <f>VLOOKUP(A:A,'[1]דוח כספי 31.10'!A:J,9,0)</f>
        <v>11000</v>
      </c>
      <c r="P92" s="95"/>
      <c r="Q92" s="95"/>
      <c r="R92" s="200"/>
      <c r="S92" s="97"/>
      <c r="T92" s="91"/>
      <c r="U92" s="85"/>
      <c r="V92" s="98"/>
      <c r="W92" s="85"/>
      <c r="X92" s="85"/>
      <c r="Y92" s="85"/>
      <c r="Z92" s="85"/>
      <c r="AA92" s="85"/>
      <c r="AB92" s="85"/>
      <c r="AC92" s="83">
        <f t="shared" si="48"/>
        <v>11000</v>
      </c>
    </row>
    <row r="93" spans="1:30" ht="15" customHeight="1">
      <c r="A93" s="93">
        <v>1724000591</v>
      </c>
      <c r="B93" s="109" t="str">
        <f t="shared" si="44"/>
        <v>591</v>
      </c>
      <c r="C93" s="109" t="str">
        <f t="shared" si="50"/>
        <v>724000</v>
      </c>
      <c r="D93" s="93" t="s">
        <v>435</v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>
        <f>VLOOKUP(A:A,'[1]דוח כספי 31.10'!A:J,9,0)</f>
        <v>0</v>
      </c>
      <c r="P93" s="95">
        <f>VLOOKUP(A:A,'[1]דוח כספי 31.10'!A:D,4,0)</f>
        <v>0</v>
      </c>
      <c r="Q93" s="95">
        <v>36000</v>
      </c>
      <c r="R93" s="200"/>
      <c r="S93" s="97"/>
      <c r="T93" s="91"/>
      <c r="U93" s="85"/>
      <c r="V93" s="98"/>
      <c r="W93" s="85"/>
      <c r="X93" s="85"/>
      <c r="Y93" s="85"/>
      <c r="Z93" s="85"/>
      <c r="AA93" s="85"/>
      <c r="AB93" s="85"/>
      <c r="AC93" s="83">
        <f t="shared" si="48"/>
        <v>0</v>
      </c>
    </row>
    <row r="94" spans="1:30" ht="15" customHeight="1">
      <c r="A94" s="93">
        <v>1724000810</v>
      </c>
      <c r="B94" s="109" t="str">
        <f t="shared" si="44"/>
        <v>810</v>
      </c>
      <c r="C94" s="109" t="str">
        <f t="shared" si="50"/>
        <v>724000</v>
      </c>
      <c r="D94" s="93" t="s">
        <v>435</v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>
        <f>VLOOKUP(A:A,'[1]דוח כספי 31.10'!A:J,9,0)</f>
        <v>107000</v>
      </c>
      <c r="P94" s="95">
        <f>VLOOKUP(A:A,'[1]דוח כספי 31.10'!A:D,4,0)</f>
        <v>164500.5</v>
      </c>
      <c r="Q94" s="95">
        <v>128000</v>
      </c>
      <c r="R94" s="200"/>
      <c r="S94" s="97"/>
      <c r="T94" s="91"/>
      <c r="U94" s="85"/>
      <c r="V94" s="98"/>
      <c r="W94" s="85"/>
      <c r="X94" s="85"/>
      <c r="Y94" s="85"/>
      <c r="Z94" s="85"/>
      <c r="AA94" s="85"/>
      <c r="AB94" s="85"/>
      <c r="AC94" s="83">
        <f t="shared" si="48"/>
        <v>-57500.5</v>
      </c>
    </row>
    <row r="95" spans="1:30" ht="15" customHeight="1">
      <c r="A95" s="206"/>
      <c r="B95" s="201"/>
      <c r="C95" s="201"/>
      <c r="D95" s="202" t="s">
        <v>436</v>
      </c>
      <c r="E95" s="203" t="e">
        <f>SUM(#REF!)</f>
        <v>#REF!</v>
      </c>
      <c r="F95" s="203" t="e">
        <f>SUM(#REF!)</f>
        <v>#REF!</v>
      </c>
      <c r="G95" s="203" t="e">
        <f>SUM(#REF!)</f>
        <v>#REF!</v>
      </c>
      <c r="H95" s="203" t="e">
        <f>SUM(#REF!)</f>
        <v>#REF!</v>
      </c>
      <c r="I95" s="203" t="e">
        <f>SUM(#REF!)</f>
        <v>#REF!</v>
      </c>
      <c r="J95" s="203" t="e">
        <f>SUM(#REF!)</f>
        <v>#REF!</v>
      </c>
      <c r="K95" s="203" t="e">
        <f>SUM(#REF!)</f>
        <v>#REF!</v>
      </c>
      <c r="L95" s="203" t="e">
        <f>SUM(#REF!)</f>
        <v>#REF!</v>
      </c>
      <c r="M95" s="203" t="e">
        <f>SUM(#REF!)</f>
        <v>#REF!</v>
      </c>
      <c r="N95" s="203" t="e">
        <f>SUM(#REF!)</f>
        <v>#REF!</v>
      </c>
      <c r="O95" s="203">
        <f>SUM(O92:O94)</f>
        <v>118000</v>
      </c>
      <c r="P95" s="203">
        <f t="shared" ref="P95:Q95" si="51">SUM(P92:P94)</f>
        <v>164500.5</v>
      </c>
      <c r="Q95" s="203">
        <f t="shared" si="51"/>
        <v>164000</v>
      </c>
      <c r="R95" s="203">
        <f>SUM(R92:R94)</f>
        <v>0</v>
      </c>
      <c r="S95" s="203" t="e">
        <f>SUM(#REF!)</f>
        <v>#REF!</v>
      </c>
      <c r="T95" s="203" t="e">
        <f>SUM(#REF!)</f>
        <v>#REF!</v>
      </c>
      <c r="U95" s="85">
        <f>IF(ISBLANK(A95),1,--OR(K95&gt;1,L95&gt;1,M95&gt;1))</f>
        <v>1</v>
      </c>
      <c r="V95" s="98">
        <v>0</v>
      </c>
      <c r="W95" s="85"/>
      <c r="X95" s="85"/>
      <c r="Y95" s="85"/>
      <c r="Z95" s="85"/>
      <c r="AA95" s="85"/>
      <c r="AB95" s="85"/>
      <c r="AC95" s="83">
        <f t="shared" si="48"/>
        <v>-46500.5</v>
      </c>
    </row>
    <row r="96" spans="1:30" ht="21" customHeight="1">
      <c r="A96" s="93">
        <v>1731000110</v>
      </c>
      <c r="B96" s="109" t="str">
        <f t="shared" si="44"/>
        <v>110</v>
      </c>
      <c r="C96" s="109" t="str">
        <f t="shared" ref="C96:C103" si="52">MID(A96,2,6)</f>
        <v>731000</v>
      </c>
      <c r="D96" s="93" t="s">
        <v>437</v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>
        <v>463000</v>
      </c>
      <c r="P96" s="95">
        <v>208000</v>
      </c>
      <c r="Q96" s="95">
        <v>250000</v>
      </c>
      <c r="R96" s="200"/>
      <c r="S96" s="97"/>
      <c r="T96" s="91"/>
      <c r="U96" s="85"/>
      <c r="V96" s="98"/>
      <c r="W96" s="85"/>
      <c r="X96" s="85"/>
      <c r="Y96" s="85"/>
      <c r="Z96" s="85"/>
      <c r="AA96" s="85"/>
      <c r="AB96" s="85"/>
      <c r="AC96"/>
    </row>
    <row r="97" spans="1:30" ht="15" customHeight="1">
      <c r="A97" s="93">
        <v>1731000540</v>
      </c>
      <c r="B97" s="109" t="str">
        <f t="shared" si="44"/>
        <v>540</v>
      </c>
      <c r="C97" s="109" t="str">
        <f t="shared" si="52"/>
        <v>731000</v>
      </c>
      <c r="D97" s="93" t="s">
        <v>438</v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>
        <f>VLOOKUP(A:A,'[1]דוח כספי 31.10'!A:J,9,0)</f>
        <v>3000</v>
      </c>
      <c r="P97" s="95">
        <f>VLOOKUP(A:A,'[1]דוח כספי 31.10'!A:D,4,0)</f>
        <v>0</v>
      </c>
      <c r="Q97" s="95">
        <f t="shared" ref="Q97" si="53">P97/10*12</f>
        <v>0</v>
      </c>
      <c r="R97" s="200"/>
      <c r="S97" s="97"/>
      <c r="T97" s="91"/>
      <c r="U97" s="85"/>
      <c r="V97" s="98"/>
      <c r="W97" s="85"/>
      <c r="X97" s="85"/>
      <c r="Y97" s="85"/>
      <c r="Z97" s="85"/>
      <c r="AA97" s="85"/>
      <c r="AB97" s="85"/>
      <c r="AC97" s="83">
        <f t="shared" ref="AC97:AC98" si="54">O97-P97</f>
        <v>3000</v>
      </c>
    </row>
    <row r="98" spans="1:30" ht="15" customHeight="1">
      <c r="A98" s="93">
        <v>1731000750</v>
      </c>
      <c r="B98" s="109" t="str">
        <f t="shared" si="44"/>
        <v>750</v>
      </c>
      <c r="C98" s="109" t="str">
        <f t="shared" si="52"/>
        <v>731000</v>
      </c>
      <c r="D98" s="93" t="s">
        <v>439</v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>
        <f>VLOOKUP(A:A,'[1]דוח כספי 31.10'!A:J,9,0)</f>
        <v>8000</v>
      </c>
      <c r="P98" s="95">
        <f>VLOOKUP(A:A,'[1]דוח כספי 31.10'!A:D,4,0)</f>
        <v>2925</v>
      </c>
      <c r="Q98" s="95">
        <v>4000</v>
      </c>
      <c r="R98" s="200"/>
      <c r="S98" s="97"/>
      <c r="T98" s="91"/>
      <c r="U98" s="85"/>
      <c r="V98" s="98"/>
      <c r="W98" s="85"/>
      <c r="X98" s="85"/>
      <c r="Y98" s="85"/>
      <c r="Z98" s="85"/>
      <c r="AA98" s="85"/>
      <c r="AB98" s="85"/>
      <c r="AC98" s="83">
        <f t="shared" si="54"/>
        <v>5075</v>
      </c>
    </row>
    <row r="99" spans="1:30" ht="21" customHeight="1">
      <c r="A99" s="93">
        <v>1732000110</v>
      </c>
      <c r="B99" s="109" t="str">
        <f t="shared" si="44"/>
        <v>110</v>
      </c>
      <c r="C99" s="109" t="str">
        <f t="shared" si="52"/>
        <v>732000</v>
      </c>
      <c r="D99" s="93" t="s">
        <v>440</v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>
        <f>VLOOKUP(A:A,'[1]דוח כספי 31.10'!A:J,9,0)</f>
        <v>0</v>
      </c>
      <c r="P99" s="95">
        <f>VLOOKUP(A:A,'[1]דוח כספי 31.10'!A:D,4,0)</f>
        <v>0</v>
      </c>
      <c r="Q99" s="95">
        <f t="shared" ref="Q99:Q109" si="55">P99/9*12</f>
        <v>0</v>
      </c>
      <c r="R99" s="200"/>
      <c r="S99" s="97"/>
      <c r="T99" s="91"/>
      <c r="U99" s="85"/>
      <c r="V99" s="98"/>
      <c r="W99" s="85"/>
      <c r="X99" s="85"/>
      <c r="Y99" s="85"/>
      <c r="Z99" s="85"/>
      <c r="AA99" s="85"/>
      <c r="AB99" s="85"/>
      <c r="AC99"/>
    </row>
    <row r="100" spans="1:30" ht="15" customHeight="1">
      <c r="A100" s="93">
        <v>1732000540</v>
      </c>
      <c r="B100" s="109" t="str">
        <f t="shared" si="44"/>
        <v>540</v>
      </c>
      <c r="C100" s="109" t="str">
        <f t="shared" si="52"/>
        <v>732000</v>
      </c>
      <c r="D100" s="93" t="s">
        <v>441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>
        <f>VLOOKUP(A:A,'[1]דוח כספי 31.10'!A:J,9,0)</f>
        <v>0</v>
      </c>
      <c r="P100" s="95">
        <f>VLOOKUP(A:A,'[1]דוח כספי 31.10'!A:D,4,0)</f>
        <v>0</v>
      </c>
      <c r="Q100" s="95">
        <f t="shared" ref="Q100:Q103" si="56">P100/10*12</f>
        <v>0</v>
      </c>
      <c r="R100" s="200"/>
      <c r="S100" s="97"/>
      <c r="T100" s="91"/>
      <c r="U100" s="85"/>
      <c r="V100" s="98"/>
      <c r="W100" s="85"/>
      <c r="X100" s="85"/>
      <c r="Y100" s="85"/>
      <c r="Z100" s="85"/>
      <c r="AA100" s="85"/>
      <c r="AB100" s="85"/>
      <c r="AC100" s="83">
        <f t="shared" ref="AC100:AC108" si="57">O100-P100</f>
        <v>0</v>
      </c>
    </row>
    <row r="101" spans="1:30" ht="15" customHeight="1">
      <c r="A101" s="93">
        <v>1732000950</v>
      </c>
      <c r="B101" s="109" t="str">
        <f t="shared" si="44"/>
        <v>950</v>
      </c>
      <c r="C101" s="109" t="str">
        <f t="shared" si="52"/>
        <v>732000</v>
      </c>
      <c r="D101" s="93" t="s">
        <v>442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>
        <f>VLOOKUP(A:A,'[1]דוח כספי 31.10'!A:J,9,0)</f>
        <v>67000</v>
      </c>
      <c r="P101" s="95">
        <f>VLOOKUP(A:A,'[1]דוח כספי 31.10'!A:D,4,0)</f>
        <v>772.2</v>
      </c>
      <c r="Q101" s="95">
        <v>67000</v>
      </c>
      <c r="R101" s="200"/>
      <c r="S101" s="97"/>
      <c r="T101" s="91"/>
      <c r="U101" s="85"/>
      <c r="V101" s="98"/>
      <c r="W101" s="85"/>
      <c r="X101" s="85"/>
      <c r="Y101" s="85"/>
      <c r="Z101" s="85"/>
      <c r="AA101" s="85"/>
      <c r="AB101" s="85"/>
      <c r="AC101" s="83">
        <f t="shared" si="57"/>
        <v>66227.8</v>
      </c>
    </row>
    <row r="102" spans="1:30" ht="15" customHeight="1">
      <c r="A102" s="93">
        <v>1732300750</v>
      </c>
      <c r="B102" s="109" t="str">
        <f t="shared" si="44"/>
        <v>750</v>
      </c>
      <c r="C102" s="109" t="str">
        <f t="shared" si="52"/>
        <v>732300</v>
      </c>
      <c r="D102" s="93" t="s">
        <v>443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>
        <f>VLOOKUP(A:A,'[1]דוח כספי 31.10'!A:J,9,0)</f>
        <v>29000</v>
      </c>
      <c r="P102" s="95">
        <f>VLOOKUP(A:A,'[1]דוח כספי 31.10'!A:D,4,0)</f>
        <v>48.48</v>
      </c>
      <c r="Q102" s="95">
        <v>29000</v>
      </c>
      <c r="R102" s="200"/>
      <c r="S102" s="97"/>
      <c r="T102" s="91"/>
      <c r="U102" s="85"/>
      <c r="V102" s="98"/>
      <c r="W102" s="85"/>
      <c r="X102" s="85"/>
      <c r="Y102" s="85"/>
      <c r="Z102" s="85"/>
      <c r="AA102" s="85"/>
      <c r="AB102" s="85"/>
      <c r="AC102" s="83">
        <f t="shared" si="57"/>
        <v>28951.52</v>
      </c>
    </row>
    <row r="103" spans="1:30" ht="15" customHeight="1">
      <c r="A103" s="93">
        <v>1732400750</v>
      </c>
      <c r="B103" s="109" t="str">
        <f t="shared" si="44"/>
        <v>750</v>
      </c>
      <c r="C103" s="109" t="str">
        <f t="shared" si="52"/>
        <v>732400</v>
      </c>
      <c r="D103" s="93" t="s">
        <v>444</v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>
        <f>VLOOKUP(A:A,'[1]דוח כספי 31.10'!A:J,9,0)</f>
        <v>0</v>
      </c>
      <c r="P103" s="95">
        <f>VLOOKUP(A:A,'[1]דוח כספי 31.10'!A:D,4,0)</f>
        <v>0</v>
      </c>
      <c r="Q103" s="95">
        <f t="shared" si="56"/>
        <v>0</v>
      </c>
      <c r="R103" s="200"/>
      <c r="S103" s="97"/>
      <c r="T103" s="91"/>
      <c r="U103" s="85"/>
      <c r="V103" s="98"/>
      <c r="W103" s="85"/>
      <c r="X103" s="85"/>
      <c r="Y103" s="85"/>
      <c r="Z103" s="85"/>
      <c r="AA103" s="85"/>
      <c r="AB103" s="85"/>
      <c r="AC103" s="83">
        <f t="shared" si="57"/>
        <v>0</v>
      </c>
    </row>
    <row r="104" spans="1:30" ht="15" customHeight="1">
      <c r="A104" s="206"/>
      <c r="B104" s="201"/>
      <c r="C104" s="201"/>
      <c r="D104" s="202" t="s">
        <v>445</v>
      </c>
      <c r="E104" s="203" t="e">
        <f>SUM(#REF!)</f>
        <v>#REF!</v>
      </c>
      <c r="F104" s="203" t="e">
        <f>SUM(#REF!)</f>
        <v>#REF!</v>
      </c>
      <c r="G104" s="203" t="e">
        <f>SUM(#REF!)</f>
        <v>#REF!</v>
      </c>
      <c r="H104" s="203" t="e">
        <f>SUM(#REF!)</f>
        <v>#REF!</v>
      </c>
      <c r="I104" s="203" t="e">
        <f>SUM(#REF!)</f>
        <v>#REF!</v>
      </c>
      <c r="J104" s="203" t="e">
        <f>SUM(#REF!)</f>
        <v>#REF!</v>
      </c>
      <c r="K104" s="203" t="e">
        <f>SUM(#REF!)</f>
        <v>#REF!</v>
      </c>
      <c r="L104" s="203" t="e">
        <f>SUM(#REF!)</f>
        <v>#REF!</v>
      </c>
      <c r="M104" s="203" t="e">
        <f>SUM(#REF!)</f>
        <v>#REF!</v>
      </c>
      <c r="N104" s="203" t="e">
        <f>SUM(#REF!)</f>
        <v>#REF!</v>
      </c>
      <c r="O104" s="203">
        <f>SUM(O96:O103)</f>
        <v>570000</v>
      </c>
      <c r="P104" s="203">
        <f t="shared" ref="P104:R104" si="58">SUM(P96:P103)</f>
        <v>211745.68000000002</v>
      </c>
      <c r="Q104" s="203">
        <f t="shared" si="58"/>
        <v>350000</v>
      </c>
      <c r="R104" s="203">
        <f t="shared" si="58"/>
        <v>0</v>
      </c>
      <c r="S104" s="205"/>
      <c r="T104" s="91"/>
      <c r="U104" s="85">
        <f>IF(ISBLANK(A104),1,--OR(K104&gt;1,L104&gt;1,M104&gt;1))</f>
        <v>1</v>
      </c>
      <c r="V104" s="98">
        <v>0</v>
      </c>
      <c r="W104" s="85"/>
      <c r="X104" s="85"/>
      <c r="Y104" s="85"/>
      <c r="Z104" s="85"/>
      <c r="AA104" s="85"/>
      <c r="AB104" s="85"/>
      <c r="AC104" s="83">
        <f t="shared" si="57"/>
        <v>358254.31999999995</v>
      </c>
    </row>
    <row r="105" spans="1:30" ht="15" customHeight="1">
      <c r="A105" s="93">
        <v>1742100592</v>
      </c>
      <c r="B105" s="109" t="str">
        <f t="shared" si="44"/>
        <v>592</v>
      </c>
      <c r="C105" s="109" t="str">
        <f t="shared" ref="C105:C118" si="59">MID(A105,2,6)</f>
        <v>742100</v>
      </c>
      <c r="D105" s="93" t="s">
        <v>446</v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>
        <f>VLOOKUP(A:A,'[1]דוח כספי 31.10'!A:J,9,0)</f>
        <v>0</v>
      </c>
      <c r="P105" s="95">
        <f>VLOOKUP(A:A,'[1]דוח כספי 31.10'!A:D,4,0)</f>
        <v>0</v>
      </c>
      <c r="Q105" s="95">
        <f t="shared" ref="Q105:Q108" si="60">P105/10*12</f>
        <v>0</v>
      </c>
      <c r="R105" s="200"/>
      <c r="S105" s="97"/>
      <c r="T105" s="91"/>
      <c r="U105" s="85"/>
      <c r="V105" s="98"/>
      <c r="W105" s="85"/>
      <c r="X105" s="85"/>
      <c r="Y105" s="85"/>
      <c r="Z105" s="85"/>
      <c r="AA105" s="85"/>
      <c r="AB105" s="85"/>
      <c r="AC105" s="83">
        <f t="shared" si="57"/>
        <v>0</v>
      </c>
    </row>
    <row r="106" spans="1:30" ht="15" customHeight="1">
      <c r="A106" s="93">
        <v>1742100750</v>
      </c>
      <c r="B106" s="109" t="str">
        <f t="shared" si="44"/>
        <v>750</v>
      </c>
      <c r="C106" s="109" t="str">
        <f t="shared" si="59"/>
        <v>742100</v>
      </c>
      <c r="D106" s="93" t="s">
        <v>447</v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>
        <f>VLOOKUP(A:A,'[1]דוח כספי 31.10'!A:J,9,0)</f>
        <v>100000</v>
      </c>
      <c r="P106" s="95">
        <f>VLOOKUP(A:A,'[1]דוח כספי 31.10'!A:D,4,0)</f>
        <v>81841</v>
      </c>
      <c r="Q106" s="95">
        <v>100000</v>
      </c>
      <c r="R106" s="200"/>
      <c r="S106" s="97"/>
      <c r="T106" s="91"/>
      <c r="U106" s="85"/>
      <c r="V106" s="98"/>
      <c r="W106" s="85"/>
      <c r="X106" s="85"/>
      <c r="Y106" s="85"/>
      <c r="Z106" s="85"/>
      <c r="AA106" s="85"/>
      <c r="AB106" s="85"/>
      <c r="AC106" s="83">
        <f t="shared" si="57"/>
        <v>18159</v>
      </c>
      <c r="AD106">
        <v>238000</v>
      </c>
    </row>
    <row r="107" spans="1:30" ht="15" customHeight="1">
      <c r="A107" s="93">
        <v>1742100810</v>
      </c>
      <c r="B107" s="109" t="str">
        <f t="shared" si="44"/>
        <v>810</v>
      </c>
      <c r="C107" s="109" t="str">
        <f t="shared" si="59"/>
        <v>742100</v>
      </c>
      <c r="D107" s="93" t="s">
        <v>446</v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>
        <f>VLOOKUP(A:A,'[1]דוח כספי 31.10'!A:J,9,0)</f>
        <v>53000</v>
      </c>
      <c r="P107" s="95">
        <f>VLOOKUP(A:A,'[1]דוח כספי 31.10'!A:D,4,0)</f>
        <v>85000</v>
      </c>
      <c r="Q107" s="95">
        <v>85000</v>
      </c>
      <c r="R107" s="200"/>
      <c r="S107" s="97"/>
      <c r="T107" s="91"/>
      <c r="U107" s="85"/>
      <c r="V107" s="98"/>
      <c r="W107" s="85"/>
      <c r="X107" s="85"/>
      <c r="Y107" s="85"/>
      <c r="Z107" s="85"/>
      <c r="AA107" s="85"/>
      <c r="AB107" s="85"/>
      <c r="AC107" s="83">
        <f t="shared" si="57"/>
        <v>-32000</v>
      </c>
    </row>
    <row r="108" spans="1:30" ht="15" customHeight="1">
      <c r="A108" s="93">
        <v>1742100930</v>
      </c>
      <c r="B108" s="109" t="str">
        <f t="shared" si="44"/>
        <v>930</v>
      </c>
      <c r="C108" s="109" t="str">
        <f t="shared" si="59"/>
        <v>742100</v>
      </c>
      <c r="D108" s="93" t="s">
        <v>448</v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>
        <f>VLOOKUP(A:A,'[1]דוח כספי 31.10'!A:J,9,0)</f>
        <v>5000</v>
      </c>
      <c r="P108" s="95">
        <f>VLOOKUP(A:A,'[1]דוח כספי 31.10'!A:D,4,0)</f>
        <v>0</v>
      </c>
      <c r="Q108" s="95">
        <f t="shared" si="60"/>
        <v>0</v>
      </c>
      <c r="R108" s="200"/>
      <c r="S108" s="97"/>
      <c r="T108" s="91"/>
      <c r="U108" s="85"/>
      <c r="V108" s="98"/>
      <c r="W108" s="85"/>
      <c r="X108" s="85"/>
      <c r="Y108" s="85"/>
      <c r="Z108" s="85"/>
      <c r="AA108" s="85"/>
      <c r="AB108" s="85"/>
      <c r="AC108" s="83">
        <f t="shared" si="57"/>
        <v>5000</v>
      </c>
    </row>
    <row r="109" spans="1:30" ht="16.5" customHeight="1">
      <c r="A109" s="93">
        <v>1743000110</v>
      </c>
      <c r="B109" s="109" t="str">
        <f t="shared" si="44"/>
        <v>110</v>
      </c>
      <c r="C109" s="109" t="str">
        <f t="shared" si="59"/>
        <v>743000</v>
      </c>
      <c r="D109" s="93" t="s">
        <v>449</v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>
        <f>VLOOKUP(A:A,'[1]דוח כספי 31.10'!A:J,9,0)</f>
        <v>0</v>
      </c>
      <c r="P109" s="95">
        <f>VLOOKUP(A:A,'[1]דוח כספי 31.10'!A:D,4,0)</f>
        <v>0</v>
      </c>
      <c r="Q109" s="95">
        <f t="shared" si="55"/>
        <v>0</v>
      </c>
      <c r="R109" s="200"/>
      <c r="S109" s="97"/>
      <c r="T109" s="91"/>
      <c r="U109" s="85"/>
      <c r="V109" s="98"/>
      <c r="W109" s="85"/>
      <c r="X109" s="85"/>
      <c r="Y109" s="85"/>
      <c r="Z109" s="85"/>
      <c r="AA109" s="85"/>
      <c r="AB109" s="85"/>
      <c r="AC109"/>
    </row>
    <row r="110" spans="1:30" ht="15" customHeight="1">
      <c r="A110" s="93">
        <v>1743000431</v>
      </c>
      <c r="B110" s="109" t="str">
        <f t="shared" si="44"/>
        <v>431</v>
      </c>
      <c r="C110" s="109" t="str">
        <f t="shared" si="59"/>
        <v>743000</v>
      </c>
      <c r="D110" s="93" t="s">
        <v>450</v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>
        <f>VLOOKUP(A:A,'[1]דוח כספי 31.10'!A:J,9,0)</f>
        <v>251000</v>
      </c>
      <c r="P110" s="95">
        <f>VLOOKUP(A:A,'[1]דוח כספי 31.10'!A:D,4,0)</f>
        <v>163058.23999999999</v>
      </c>
      <c r="Q110" s="95">
        <v>230000</v>
      </c>
      <c r="R110" s="200"/>
      <c r="S110" s="97"/>
      <c r="T110" s="91"/>
      <c r="U110" s="85"/>
      <c r="V110" s="98"/>
      <c r="W110" s="85"/>
      <c r="X110" s="85"/>
      <c r="Y110" s="85"/>
      <c r="Z110" s="85"/>
      <c r="AA110" s="85"/>
      <c r="AB110" s="85"/>
      <c r="AC110" s="83">
        <f t="shared" ref="AC110:AC119" si="61">O110-P110</f>
        <v>87941.760000000009</v>
      </c>
    </row>
    <row r="111" spans="1:30" ht="15" customHeight="1">
      <c r="A111" s="93">
        <v>1743000540</v>
      </c>
      <c r="B111" s="109" t="str">
        <f t="shared" si="44"/>
        <v>540</v>
      </c>
      <c r="C111" s="109" t="str">
        <f t="shared" si="59"/>
        <v>743000</v>
      </c>
      <c r="D111" s="93" t="s">
        <v>401</v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>
        <f>VLOOKUP(A:A,'[1]דוח כספי 31.10'!A:J,9,0)</f>
        <v>0</v>
      </c>
      <c r="P111" s="95">
        <f>VLOOKUP(A:A,'[1]דוח כספי 31.10'!A:D,4,0)</f>
        <v>0</v>
      </c>
      <c r="Q111" s="95">
        <f t="shared" ref="Q111:Q113" si="62">P111/10*12</f>
        <v>0</v>
      </c>
      <c r="R111" s="200"/>
      <c r="S111" s="97"/>
      <c r="T111" s="91"/>
      <c r="U111" s="85"/>
      <c r="V111" s="98"/>
      <c r="W111" s="85"/>
      <c r="X111" s="85"/>
      <c r="Y111" s="85"/>
      <c r="Z111" s="85"/>
      <c r="AA111" s="85"/>
      <c r="AB111" s="85"/>
      <c r="AC111" s="83">
        <f t="shared" si="61"/>
        <v>0</v>
      </c>
    </row>
    <row r="112" spans="1:30" ht="15" customHeight="1">
      <c r="A112" s="93">
        <v>1743000750</v>
      </c>
      <c r="B112" s="109" t="str">
        <f t="shared" si="44"/>
        <v>750</v>
      </c>
      <c r="C112" s="109" t="str">
        <f t="shared" si="59"/>
        <v>743000</v>
      </c>
      <c r="D112" s="93" t="s">
        <v>451</v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>
        <f>VLOOKUP(A:A,'[1]דוח כספי 31.10'!A:J,9,0)</f>
        <v>177000</v>
      </c>
      <c r="P112" s="95">
        <f>VLOOKUP(A:A,'[1]דוח כספי 31.10'!A:D,4,0)</f>
        <v>101148.65</v>
      </c>
      <c r="Q112" s="95">
        <v>177000</v>
      </c>
      <c r="R112" s="200"/>
      <c r="S112" s="97"/>
      <c r="T112" s="91"/>
      <c r="U112" s="85"/>
      <c r="V112" s="98"/>
      <c r="W112" s="85"/>
      <c r="X112" s="85"/>
      <c r="Y112" s="85"/>
      <c r="Z112" s="85"/>
      <c r="AA112" s="85"/>
      <c r="AB112" s="85"/>
      <c r="AC112" s="83">
        <f t="shared" si="61"/>
        <v>75851.350000000006</v>
      </c>
    </row>
    <row r="113" spans="1:29" ht="15" customHeight="1">
      <c r="A113" s="93">
        <v>1744000581</v>
      </c>
      <c r="B113" s="109" t="str">
        <f t="shared" si="44"/>
        <v>581</v>
      </c>
      <c r="C113" s="109" t="str">
        <f t="shared" si="59"/>
        <v>744000</v>
      </c>
      <c r="D113" s="93" t="s">
        <v>78</v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>
        <f>VLOOKUP(A:A,'[1]דוח כספי 31.10'!A:J,9,0)</f>
        <v>0</v>
      </c>
      <c r="P113" s="95">
        <f>VLOOKUP(A:A,'[1]דוח כספי 31.10'!A:D,4,0)</f>
        <v>0</v>
      </c>
      <c r="Q113" s="95">
        <f t="shared" si="62"/>
        <v>0</v>
      </c>
      <c r="R113" s="200"/>
      <c r="S113" s="97"/>
      <c r="T113" s="91"/>
      <c r="U113" s="85"/>
      <c r="V113" s="98"/>
      <c r="W113" s="85"/>
      <c r="X113" s="85"/>
      <c r="Y113" s="85"/>
      <c r="Z113" s="85"/>
      <c r="AA113" s="85"/>
      <c r="AB113" s="85"/>
      <c r="AC113" s="83">
        <f t="shared" si="61"/>
        <v>0</v>
      </c>
    </row>
    <row r="114" spans="1:29" ht="15" customHeight="1">
      <c r="A114" s="93">
        <v>1744000810</v>
      </c>
      <c r="B114" s="109" t="str">
        <f t="shared" si="44"/>
        <v>810</v>
      </c>
      <c r="C114" s="109" t="str">
        <f t="shared" si="59"/>
        <v>744000</v>
      </c>
      <c r="D114" s="93" t="s">
        <v>78</v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>
        <f>VLOOKUP(A:A,'[1]דוח כספי 31.10'!A:J,9,0)</f>
        <v>100000</v>
      </c>
      <c r="P114" s="95">
        <f>VLOOKUP(A:A,'[1]דוח כספי 31.10'!A:D,4,0)</f>
        <v>38600</v>
      </c>
      <c r="Q114" s="95">
        <v>50000</v>
      </c>
      <c r="R114" s="200"/>
      <c r="S114" s="97"/>
      <c r="T114" s="91"/>
      <c r="U114" s="85"/>
      <c r="V114" s="98"/>
      <c r="W114" s="85"/>
      <c r="X114" s="85"/>
      <c r="Y114" s="85"/>
      <c r="Z114" s="85"/>
      <c r="AA114" s="85"/>
      <c r="AB114" s="85"/>
      <c r="AC114" s="83">
        <f t="shared" si="61"/>
        <v>61400</v>
      </c>
    </row>
    <row r="115" spans="1:29" ht="15" customHeight="1">
      <c r="A115" s="93">
        <v>1746000422</v>
      </c>
      <c r="B115" s="109" t="str">
        <f t="shared" si="44"/>
        <v>422</v>
      </c>
      <c r="C115" s="109" t="str">
        <f t="shared" si="59"/>
        <v>746000</v>
      </c>
      <c r="D115" s="93" t="s">
        <v>452</v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>
        <f>VLOOKUP(A:A,'[1]דוח כספי 31.10'!A:J,9,0)</f>
        <v>0</v>
      </c>
      <c r="P115" s="95">
        <f>VLOOKUP(A:A,'[1]דוח כספי 31.10'!A:D,4,0)</f>
        <v>27378</v>
      </c>
      <c r="Q115" s="95">
        <v>35000</v>
      </c>
      <c r="R115" s="200"/>
      <c r="S115" s="97"/>
      <c r="T115" s="91"/>
      <c r="U115" s="85"/>
      <c r="V115" s="98"/>
      <c r="W115" s="85"/>
      <c r="X115" s="85"/>
      <c r="Y115" s="85"/>
      <c r="Z115" s="85"/>
      <c r="AA115" s="85"/>
      <c r="AB115" s="85"/>
      <c r="AC115" s="83">
        <f t="shared" si="61"/>
        <v>-27378</v>
      </c>
    </row>
    <row r="116" spans="1:29" ht="15" customHeight="1">
      <c r="A116" s="93">
        <v>1746000432</v>
      </c>
      <c r="B116" s="109" t="str">
        <f t="shared" si="44"/>
        <v>432</v>
      </c>
      <c r="C116" s="109" t="str">
        <f t="shared" si="59"/>
        <v>746000</v>
      </c>
      <c r="D116" s="93" t="s">
        <v>453</v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>
        <f>VLOOKUP(A:A,'[1]דוח כספי 31.10'!A:J,9,0)</f>
        <v>10000</v>
      </c>
      <c r="P116" s="95">
        <f>VLOOKUP(A:A,'[1]דוח כספי 31.10'!A:D,4,0)</f>
        <v>0</v>
      </c>
      <c r="Q116" s="95">
        <v>10000</v>
      </c>
      <c r="R116" s="200"/>
      <c r="S116" s="97"/>
      <c r="T116" s="91"/>
      <c r="U116" s="85"/>
      <c r="V116" s="98"/>
      <c r="W116" s="85"/>
      <c r="X116" s="85"/>
      <c r="Y116" s="85"/>
      <c r="Z116" s="85"/>
      <c r="AA116" s="85"/>
      <c r="AB116" s="85"/>
      <c r="AC116" s="83">
        <f t="shared" si="61"/>
        <v>10000</v>
      </c>
    </row>
    <row r="117" spans="1:29" ht="15" customHeight="1">
      <c r="A117" s="93">
        <v>1746000740</v>
      </c>
      <c r="B117" s="109" t="str">
        <f t="shared" si="44"/>
        <v>740</v>
      </c>
      <c r="C117" s="109" t="str">
        <f t="shared" si="59"/>
        <v>746000</v>
      </c>
      <c r="D117" s="93" t="s">
        <v>454</v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>
        <f>VLOOKUP(A:A,'[1]דוח כספי 31.10'!A:J,9,0)</f>
        <v>5000</v>
      </c>
      <c r="P117" s="95">
        <f>VLOOKUP(A:A,'[1]דוח כספי 31.10'!A:D,4,0)</f>
        <v>0</v>
      </c>
      <c r="Q117" s="95">
        <v>5000</v>
      </c>
      <c r="R117" s="200"/>
      <c r="S117" s="97"/>
      <c r="T117" s="91"/>
      <c r="U117" s="85"/>
      <c r="V117" s="98"/>
      <c r="W117" s="85"/>
      <c r="X117" s="85"/>
      <c r="Y117" s="85"/>
      <c r="Z117" s="85"/>
      <c r="AA117" s="85"/>
      <c r="AB117" s="85"/>
      <c r="AC117" s="83">
        <f t="shared" si="61"/>
        <v>5000</v>
      </c>
    </row>
    <row r="118" spans="1:29" ht="15" customHeight="1">
      <c r="A118" s="93">
        <v>1746000810</v>
      </c>
      <c r="B118" s="109" t="str">
        <f t="shared" si="44"/>
        <v>810</v>
      </c>
      <c r="C118" s="109" t="str">
        <f t="shared" si="59"/>
        <v>746000</v>
      </c>
      <c r="D118" s="93" t="s">
        <v>687</v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>
        <f>VLOOKUP(A:A,'[1]דוח כספי 31.10'!A:J,9,0)</f>
        <v>164000</v>
      </c>
      <c r="P118" s="95">
        <f>VLOOKUP(A:A,'[1]דוח כספי 31.10'!A:D,4,0)</f>
        <v>4001.4</v>
      </c>
      <c r="Q118" s="95">
        <v>150000</v>
      </c>
      <c r="R118" s="200"/>
      <c r="S118" s="97"/>
      <c r="T118" s="91"/>
      <c r="U118" s="85"/>
      <c r="V118" s="98"/>
      <c r="W118" s="85"/>
      <c r="X118" s="85"/>
      <c r="Y118" s="85"/>
      <c r="Z118" s="85"/>
      <c r="AA118" s="85"/>
      <c r="AB118" s="85"/>
      <c r="AC118" s="83">
        <f t="shared" si="61"/>
        <v>159998.6</v>
      </c>
    </row>
    <row r="119" spans="1:29" ht="15" customHeight="1">
      <c r="A119" s="206"/>
      <c r="B119" s="201"/>
      <c r="C119" s="201"/>
      <c r="D119" s="202" t="s">
        <v>455</v>
      </c>
      <c r="E119" s="203" t="e">
        <f>SUM(#REF!)</f>
        <v>#REF!</v>
      </c>
      <c r="F119" s="203" t="e">
        <f>SUM(#REF!)</f>
        <v>#REF!</v>
      </c>
      <c r="G119" s="203" t="e">
        <f>SUM(#REF!)</f>
        <v>#REF!</v>
      </c>
      <c r="H119" s="203" t="e">
        <f>SUM(#REF!)</f>
        <v>#REF!</v>
      </c>
      <c r="I119" s="203" t="e">
        <f>SUM(#REF!)</f>
        <v>#REF!</v>
      </c>
      <c r="J119" s="203" t="e">
        <f>SUM(#REF!)</f>
        <v>#REF!</v>
      </c>
      <c r="K119" s="203" t="e">
        <f>SUM(#REF!)</f>
        <v>#REF!</v>
      </c>
      <c r="L119" s="203" t="e">
        <f>SUM(#REF!)</f>
        <v>#REF!</v>
      </c>
      <c r="M119" s="203" t="e">
        <f>SUM(#REF!)</f>
        <v>#REF!</v>
      </c>
      <c r="N119" s="203" t="e">
        <f>SUM(#REF!)</f>
        <v>#REF!</v>
      </c>
      <c r="O119" s="203">
        <f>SUM(O105:O118)</f>
        <v>865000</v>
      </c>
      <c r="P119" s="203">
        <f t="shared" ref="P119:R119" si="63">SUM(P105:P118)</f>
        <v>501027.29000000004</v>
      </c>
      <c r="Q119" s="203">
        <f t="shared" si="63"/>
        <v>842000</v>
      </c>
      <c r="R119" s="203">
        <f t="shared" si="63"/>
        <v>0</v>
      </c>
      <c r="S119" s="205"/>
      <c r="T119" s="91"/>
      <c r="U119" s="85">
        <f>IF(ISBLANK(A119),1,--OR(K119&gt;1,L119&gt;1,M119&gt;1))</f>
        <v>1</v>
      </c>
      <c r="V119" s="98">
        <v>0</v>
      </c>
      <c r="W119" s="85"/>
      <c r="X119" s="85"/>
      <c r="Y119" s="85"/>
      <c r="Z119" s="85"/>
      <c r="AA119" s="85"/>
      <c r="AB119" s="85"/>
      <c r="AC119" s="83">
        <f t="shared" si="61"/>
        <v>363972.70999999996</v>
      </c>
    </row>
    <row r="120" spans="1:29" ht="19.5" customHeight="1">
      <c r="A120" s="93">
        <v>1761000110</v>
      </c>
      <c r="B120" s="109" t="str">
        <f t="shared" si="44"/>
        <v>110</v>
      </c>
      <c r="C120" s="109" t="str">
        <f t="shared" ref="C120:C125" si="64">MID(A120,2,6)</f>
        <v>761000</v>
      </c>
      <c r="D120" s="93" t="s">
        <v>456</v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>
        <v>238000</v>
      </c>
      <c r="P120" s="95">
        <v>178158</v>
      </c>
      <c r="Q120" s="95">
        <v>238000</v>
      </c>
      <c r="R120" s="200"/>
      <c r="S120" s="97"/>
      <c r="T120" s="91"/>
      <c r="U120" s="85"/>
      <c r="V120" s="98"/>
      <c r="W120" s="85"/>
      <c r="X120" s="85"/>
      <c r="Y120" s="85"/>
      <c r="Z120" s="85"/>
      <c r="AA120" s="85"/>
      <c r="AB120" s="85"/>
      <c r="AC120"/>
    </row>
    <row r="121" spans="1:29" ht="15" customHeight="1">
      <c r="A121" s="93">
        <v>1761000422</v>
      </c>
      <c r="B121" s="109" t="str">
        <f t="shared" si="44"/>
        <v>422</v>
      </c>
      <c r="C121" s="109" t="str">
        <f t="shared" si="64"/>
        <v>761000</v>
      </c>
      <c r="D121" s="93" t="s">
        <v>457</v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>
        <f>VLOOKUP(A:A,'[1]דוח כספי 31.10'!A:J,9,0)</f>
        <v>0</v>
      </c>
      <c r="P121" s="95">
        <f>VLOOKUP(A:A,'[1]דוח כספי 31.10'!A:D,4,0)</f>
        <v>0</v>
      </c>
      <c r="Q121" s="95">
        <f t="shared" ref="Q121:Q124" si="65">P121/10*12</f>
        <v>0</v>
      </c>
      <c r="R121" s="200"/>
      <c r="S121" s="97"/>
      <c r="T121" s="91"/>
      <c r="U121" s="85"/>
      <c r="V121" s="98"/>
      <c r="W121" s="85"/>
      <c r="X121" s="85"/>
      <c r="Y121" s="85"/>
      <c r="Z121" s="85"/>
      <c r="AA121" s="85"/>
      <c r="AB121" s="85"/>
      <c r="AC121" s="83">
        <f t="shared" ref="AC121:AC128" si="66">O121-P121</f>
        <v>0</v>
      </c>
    </row>
    <row r="122" spans="1:29" ht="15" customHeight="1">
      <c r="A122" s="93">
        <v>1761000431</v>
      </c>
      <c r="B122" s="109" t="str">
        <f t="shared" si="44"/>
        <v>431</v>
      </c>
      <c r="C122" s="109" t="str">
        <f t="shared" si="64"/>
        <v>761000</v>
      </c>
      <c r="D122" s="93" t="s">
        <v>458</v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>
        <f>VLOOKUP(A:A,'[1]דוח כספי 31.10'!A:J,9,0)</f>
        <v>0</v>
      </c>
      <c r="P122" s="95">
        <f>VLOOKUP(A:A,'[1]דוח כספי 31.10'!A:D,4,0)</f>
        <v>0</v>
      </c>
      <c r="Q122" s="95">
        <f t="shared" si="65"/>
        <v>0</v>
      </c>
      <c r="R122" s="200"/>
      <c r="S122" s="97"/>
      <c r="T122" s="91"/>
      <c r="U122" s="85"/>
      <c r="V122" s="98"/>
      <c r="W122" s="85"/>
      <c r="X122" s="85"/>
      <c r="Y122" s="85"/>
      <c r="Z122" s="85"/>
      <c r="AA122" s="85"/>
      <c r="AB122" s="85"/>
      <c r="AC122" s="83">
        <f t="shared" si="66"/>
        <v>0</v>
      </c>
    </row>
    <row r="123" spans="1:29" ht="15" customHeight="1">
      <c r="A123" s="93">
        <v>1761000521</v>
      </c>
      <c r="B123" s="109" t="str">
        <f t="shared" si="44"/>
        <v>521</v>
      </c>
      <c r="C123" s="109" t="str">
        <f t="shared" si="64"/>
        <v>761000</v>
      </c>
      <c r="D123" s="93" t="s">
        <v>459</v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>
        <f>VLOOKUP(A:A,'[1]דוח כספי 31.10'!A:J,9,0)</f>
        <v>2000</v>
      </c>
      <c r="P123" s="95">
        <f>VLOOKUP(A:A,'[1]דוח כספי 31.10'!A:D,4,0)</f>
        <v>835</v>
      </c>
      <c r="Q123" s="95">
        <v>2000</v>
      </c>
      <c r="R123" s="200"/>
      <c r="S123" s="97"/>
      <c r="T123" s="91"/>
      <c r="U123" s="85"/>
      <c r="V123" s="98"/>
      <c r="W123" s="85"/>
      <c r="X123" s="85"/>
      <c r="Y123" s="85"/>
      <c r="Z123" s="85"/>
      <c r="AA123" s="85"/>
      <c r="AB123" s="85"/>
      <c r="AC123" s="83">
        <f t="shared" si="66"/>
        <v>1165</v>
      </c>
    </row>
    <row r="124" spans="1:29" ht="15" customHeight="1">
      <c r="A124" s="93">
        <v>1761000540</v>
      </c>
      <c r="B124" s="109" t="str">
        <f t="shared" si="44"/>
        <v>540</v>
      </c>
      <c r="C124" s="109" t="str">
        <f t="shared" si="64"/>
        <v>761000</v>
      </c>
      <c r="D124" s="93" t="s">
        <v>438</v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>
        <f>VLOOKUP(A:A,'[1]דוח כספי 31.10'!A:J,9,0)</f>
        <v>2000</v>
      </c>
      <c r="P124" s="95">
        <f>VLOOKUP(A:A,'[1]דוח כספי 31.10'!A:D,4,0)</f>
        <v>0</v>
      </c>
      <c r="Q124" s="95">
        <f t="shared" si="65"/>
        <v>0</v>
      </c>
      <c r="R124" s="200"/>
      <c r="S124" s="97"/>
      <c r="T124" s="91"/>
      <c r="U124" s="85"/>
      <c r="V124" s="98"/>
      <c r="W124" s="85"/>
      <c r="X124" s="85"/>
      <c r="Y124" s="85"/>
      <c r="Z124" s="85"/>
      <c r="AA124" s="85"/>
      <c r="AB124" s="85"/>
      <c r="AC124" s="83">
        <f t="shared" si="66"/>
        <v>2000</v>
      </c>
    </row>
    <row r="125" spans="1:29" ht="15" customHeight="1">
      <c r="A125" s="93">
        <v>1761000810</v>
      </c>
      <c r="B125" s="109" t="str">
        <f t="shared" si="44"/>
        <v>810</v>
      </c>
      <c r="C125" s="109" t="str">
        <f t="shared" si="64"/>
        <v>761000</v>
      </c>
      <c r="D125" s="93" t="s">
        <v>457</v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>
        <f>VLOOKUP(A:A,'[1]דוח כספי 31.10'!A:J,9,0)</f>
        <v>35000</v>
      </c>
      <c r="P125" s="95">
        <f>VLOOKUP(A:A,'[1]דוח כספי 31.10'!A:D,4,0)</f>
        <v>16100</v>
      </c>
      <c r="Q125" s="95">
        <v>35000</v>
      </c>
      <c r="R125" s="200"/>
      <c r="S125" s="97"/>
      <c r="T125" s="91"/>
      <c r="U125" s="85"/>
      <c r="V125" s="98"/>
      <c r="W125" s="85"/>
      <c r="X125" s="85"/>
      <c r="Y125" s="85"/>
      <c r="Z125" s="85"/>
      <c r="AA125" s="85"/>
      <c r="AB125" s="85"/>
      <c r="AC125" s="83">
        <f t="shared" si="66"/>
        <v>18900</v>
      </c>
    </row>
    <row r="126" spans="1:29" ht="15" customHeight="1">
      <c r="A126" s="206"/>
      <c r="B126" s="201"/>
      <c r="C126" s="201"/>
      <c r="D126" s="202" t="s">
        <v>460</v>
      </c>
      <c r="E126" s="203" t="e">
        <f>SUM(#REF!)</f>
        <v>#REF!</v>
      </c>
      <c r="F126" s="203" t="e">
        <f>SUM(#REF!)</f>
        <v>#REF!</v>
      </c>
      <c r="G126" s="203" t="e">
        <f>SUM(#REF!)</f>
        <v>#REF!</v>
      </c>
      <c r="H126" s="203" t="e">
        <f>SUM(#REF!)</f>
        <v>#REF!</v>
      </c>
      <c r="I126" s="203" t="e">
        <f>SUM(#REF!)</f>
        <v>#REF!</v>
      </c>
      <c r="J126" s="203" t="e">
        <f>SUM(#REF!)</f>
        <v>#REF!</v>
      </c>
      <c r="K126" s="203" t="e">
        <f>SUM(#REF!)</f>
        <v>#REF!</v>
      </c>
      <c r="L126" s="203" t="e">
        <f>SUM(#REF!)</f>
        <v>#REF!</v>
      </c>
      <c r="M126" s="203" t="e">
        <f>SUM(#REF!)</f>
        <v>#REF!</v>
      </c>
      <c r="N126" s="203" t="e">
        <f>SUM(#REF!)</f>
        <v>#REF!</v>
      </c>
      <c r="O126" s="203">
        <f>SUM(O120:O125)</f>
        <v>277000</v>
      </c>
      <c r="P126" s="203">
        <f t="shared" ref="P126:R126" si="67">SUM(P120:P125)</f>
        <v>195093</v>
      </c>
      <c r="Q126" s="203">
        <f t="shared" si="67"/>
        <v>275000</v>
      </c>
      <c r="R126" s="203">
        <f t="shared" si="67"/>
        <v>0</v>
      </c>
      <c r="S126" s="205"/>
      <c r="T126" s="91"/>
      <c r="U126" s="85">
        <f>IF(ISBLANK(A126),1,--OR(K126&gt;1,L126&gt;1,M126&gt;1))</f>
        <v>1</v>
      </c>
      <c r="V126" s="98">
        <v>0</v>
      </c>
      <c r="W126" s="85"/>
      <c r="X126" s="85"/>
      <c r="Y126" s="85"/>
      <c r="Z126" s="85"/>
      <c r="AA126" s="85"/>
      <c r="AB126" s="85"/>
      <c r="AC126" s="83">
        <f t="shared" si="66"/>
        <v>81907</v>
      </c>
    </row>
    <row r="127" spans="1:29" ht="15" customHeight="1">
      <c r="A127" s="206"/>
      <c r="B127" s="211"/>
      <c r="C127" s="211"/>
      <c r="D127" s="212" t="s">
        <v>461</v>
      </c>
      <c r="E127" s="213" t="e">
        <f>+E126+#REF!+#REF!+E119+E104+E95+E91</f>
        <v>#REF!</v>
      </c>
      <c r="F127" s="213" t="e">
        <f>+F126+#REF!+#REF!+F119+F104+F95+F91</f>
        <v>#REF!</v>
      </c>
      <c r="G127" s="213" t="e">
        <f>+G126+#REF!+#REF!+G119+G104+G95+G91</f>
        <v>#REF!</v>
      </c>
      <c r="H127" s="213" t="e">
        <f>+H126+#REF!+#REF!+H119+H104+H95+H91</f>
        <v>#REF!</v>
      </c>
      <c r="I127" s="213" t="e">
        <f>+I126+#REF!+#REF!+I119+I104+I95+I91</f>
        <v>#REF!</v>
      </c>
      <c r="J127" s="213" t="e">
        <f>+J126+#REF!+#REF!+J119+J104+J95+J91</f>
        <v>#REF!</v>
      </c>
      <c r="K127" s="213" t="e">
        <f>+K126+#REF!+#REF!+K119+K104+K95+K91</f>
        <v>#REF!</v>
      </c>
      <c r="L127" s="213" t="e">
        <f>+L126+#REF!+#REF!+L119+L104+L95+L91</f>
        <v>#REF!</v>
      </c>
      <c r="M127" s="213" t="e">
        <f>+M126+#REF!+#REF!+M119+M104+M95+M91</f>
        <v>#REF!</v>
      </c>
      <c r="N127" s="213" t="e">
        <f>+N126+#REF!+#REF!+N119+N104+N95+N91</f>
        <v>#REF!</v>
      </c>
      <c r="O127" s="213">
        <f>+O126+O119+O104+O95+O91</f>
        <v>5248000</v>
      </c>
      <c r="P127" s="213">
        <f t="shared" ref="P127:R127" si="68">+P126+P119+P104+P95+P91</f>
        <v>3650006.73</v>
      </c>
      <c r="Q127" s="213">
        <f t="shared" si="68"/>
        <v>5132000</v>
      </c>
      <c r="R127" s="213">
        <f t="shared" si="68"/>
        <v>0</v>
      </c>
      <c r="S127" s="214"/>
      <c r="T127" s="91"/>
      <c r="U127" s="85">
        <f>IF(ISBLANK(A127),1,--OR(K127&gt;1,L127&gt;1,M127&gt;1))</f>
        <v>1</v>
      </c>
      <c r="V127" s="98">
        <v>0</v>
      </c>
      <c r="W127" s="85"/>
      <c r="X127" s="85"/>
      <c r="Y127" s="85"/>
      <c r="Z127" s="85"/>
      <c r="AA127" s="85"/>
      <c r="AB127" s="85"/>
      <c r="AC127" s="83">
        <f t="shared" si="66"/>
        <v>1597993.27</v>
      </c>
    </row>
    <row r="128" spans="1:29" ht="15" customHeight="1">
      <c r="A128" s="197"/>
      <c r="B128" s="87" t="s">
        <v>83</v>
      </c>
      <c r="C128" s="87"/>
      <c r="D128" s="87"/>
      <c r="E128" s="87"/>
      <c r="F128" s="87"/>
      <c r="G128" s="87"/>
      <c r="H128" s="88"/>
      <c r="I128" s="95"/>
      <c r="J128" s="124"/>
      <c r="K128" s="124"/>
      <c r="L128" s="124"/>
      <c r="M128" s="124"/>
      <c r="N128" s="95">
        <v>0</v>
      </c>
      <c r="O128" s="124"/>
      <c r="P128" s="124"/>
      <c r="Q128" s="95">
        <f t="shared" ref="Q128" si="69">P128/10*12</f>
        <v>0</v>
      </c>
      <c r="R128" s="198"/>
      <c r="S128" s="90"/>
      <c r="T128" s="91"/>
      <c r="U128" s="85">
        <f>IF(ISBLANK(A128),1,--OR(K128&gt;1,L128&gt;1,M128&gt;1))</f>
        <v>1</v>
      </c>
      <c r="V128" s="98">
        <f t="shared" ref="V128:V136" si="70">+P128-M128</f>
        <v>0</v>
      </c>
      <c r="W128" s="85"/>
      <c r="X128" s="85"/>
      <c r="Y128" s="85"/>
      <c r="Z128" s="85"/>
      <c r="AA128" s="85"/>
      <c r="AB128" s="85"/>
      <c r="AC128" s="83">
        <f t="shared" si="66"/>
        <v>0</v>
      </c>
    </row>
    <row r="129" spans="1:30" ht="19.5" customHeight="1">
      <c r="A129" s="93">
        <v>1811000110</v>
      </c>
      <c r="B129" s="109" t="str">
        <f t="shared" ref="B129:B192" si="71">MID(A129,8,3)</f>
        <v>110</v>
      </c>
      <c r="C129" s="109" t="str">
        <f t="shared" ref="C129:C135" si="72">MID(A129,2,6)</f>
        <v>811000</v>
      </c>
      <c r="D129" s="93" t="s">
        <v>462</v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>
        <f>VLOOKUP(A:A,'[1]דוח כספי 31.10'!A:J,9,0)</f>
        <v>494000</v>
      </c>
      <c r="P129" s="95">
        <f>VLOOKUP(A:A,'[1]דוח כספי 31.10'!A:D,4,0)</f>
        <v>405652.44</v>
      </c>
      <c r="Q129" s="95">
        <v>570000</v>
      </c>
      <c r="R129" s="200"/>
      <c r="S129" s="97"/>
      <c r="T129" s="91"/>
      <c r="U129" s="85"/>
      <c r="V129" s="98"/>
      <c r="W129" s="85"/>
      <c r="X129" s="85"/>
      <c r="Y129" s="85"/>
      <c r="Z129" s="85"/>
      <c r="AA129" s="85"/>
      <c r="AB129" s="85"/>
      <c r="AC129"/>
    </row>
    <row r="130" spans="1:30" ht="15" customHeight="1">
      <c r="A130" s="93">
        <v>1811000521</v>
      </c>
      <c r="B130" s="109" t="str">
        <f t="shared" si="71"/>
        <v>521</v>
      </c>
      <c r="C130" s="109" t="str">
        <f t="shared" si="72"/>
        <v>811000</v>
      </c>
      <c r="D130" s="93" t="s">
        <v>357</v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>
        <f>VLOOKUP(A:A,'[1]דוח כספי 31.10'!A:J,9,0)</f>
        <v>3000</v>
      </c>
      <c r="P130" s="95">
        <f>VLOOKUP(A:A,'[1]דוח כספי 31.10'!A:D,4,0)</f>
        <v>0</v>
      </c>
      <c r="Q130" s="95">
        <f t="shared" ref="Q130:Q134" si="73">P130/10*12</f>
        <v>0</v>
      </c>
      <c r="R130" s="200"/>
      <c r="S130" s="97"/>
      <c r="T130" s="91"/>
      <c r="U130" s="85"/>
      <c r="V130" s="98"/>
      <c r="W130" s="85"/>
      <c r="X130" s="85"/>
      <c r="Y130" s="85"/>
      <c r="Z130" s="85"/>
      <c r="AA130" s="85"/>
      <c r="AB130" s="85"/>
      <c r="AC130" s="83">
        <f t="shared" ref="AC130:AC137" si="74">O130-P130</f>
        <v>3000</v>
      </c>
      <c r="AD130">
        <v>0</v>
      </c>
    </row>
    <row r="131" spans="1:30" ht="15" customHeight="1">
      <c r="A131" s="93">
        <v>1811000540</v>
      </c>
      <c r="B131" s="109" t="str">
        <f t="shared" si="71"/>
        <v>540</v>
      </c>
      <c r="C131" s="109" t="str">
        <f t="shared" si="72"/>
        <v>811000</v>
      </c>
      <c r="D131" s="93" t="s">
        <v>438</v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>
        <f>VLOOKUP(A:A,'[1]דוח כספי 31.10'!A:J,9,0)</f>
        <v>0</v>
      </c>
      <c r="P131" s="95">
        <f>VLOOKUP(A:A,'[1]דוח כספי 31.10'!A:D,4,0)</f>
        <v>0</v>
      </c>
      <c r="Q131" s="95">
        <f t="shared" si="73"/>
        <v>0</v>
      </c>
      <c r="R131" s="200"/>
      <c r="S131" s="97"/>
      <c r="T131" s="91"/>
      <c r="U131" s="85"/>
      <c r="V131" s="98"/>
      <c r="W131" s="85"/>
      <c r="X131" s="85"/>
      <c r="Y131" s="85"/>
      <c r="Z131" s="85"/>
      <c r="AA131" s="85"/>
      <c r="AB131" s="85"/>
      <c r="AC131" s="83">
        <f t="shared" si="74"/>
        <v>0</v>
      </c>
      <c r="AD131">
        <v>109000</v>
      </c>
    </row>
    <row r="132" spans="1:30" ht="15" customHeight="1">
      <c r="A132" s="93">
        <v>1811000560</v>
      </c>
      <c r="B132" s="109" t="str">
        <f t="shared" si="71"/>
        <v>560</v>
      </c>
      <c r="C132" s="109" t="str">
        <f t="shared" si="72"/>
        <v>811000</v>
      </c>
      <c r="D132" s="93" t="s">
        <v>463</v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>
        <f>VLOOKUP(A:A,'[1]דוח כספי 31.10'!A:J,9,0)</f>
        <v>0</v>
      </c>
      <c r="P132" s="95">
        <f>VLOOKUP(A:A,'[1]דוח כספי 31.10'!A:D,4,0)</f>
        <v>0</v>
      </c>
      <c r="Q132" s="95">
        <f t="shared" si="73"/>
        <v>0</v>
      </c>
      <c r="R132" s="200"/>
      <c r="S132" s="97"/>
      <c r="T132" s="91"/>
      <c r="U132" s="85"/>
      <c r="V132" s="98"/>
      <c r="W132" s="85"/>
      <c r="X132" s="85"/>
      <c r="Y132" s="85"/>
      <c r="Z132" s="85"/>
      <c r="AA132" s="85"/>
      <c r="AB132" s="85"/>
      <c r="AC132" s="83">
        <f t="shared" si="74"/>
        <v>0</v>
      </c>
    </row>
    <row r="133" spans="1:30" ht="15" customHeight="1">
      <c r="A133" s="93">
        <v>1811000810</v>
      </c>
      <c r="B133" s="109" t="str">
        <f t="shared" si="71"/>
        <v>810</v>
      </c>
      <c r="C133" s="109" t="str">
        <f t="shared" si="72"/>
        <v>811000</v>
      </c>
      <c r="D133" s="93" t="s">
        <v>463</v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>
        <f>VLOOKUP(A:A,'[1]דוח כספי 31.10'!A:J,9,0)</f>
        <v>0</v>
      </c>
      <c r="P133" s="95">
        <f>VLOOKUP(A:A,'[1]דוח כספי 31.10'!A:D,4,0)</f>
        <v>0</v>
      </c>
      <c r="Q133" s="95">
        <f t="shared" si="73"/>
        <v>0</v>
      </c>
      <c r="R133" s="200"/>
      <c r="S133" s="97"/>
      <c r="T133" s="91"/>
      <c r="U133" s="85"/>
      <c r="V133" s="98"/>
      <c r="W133" s="85"/>
      <c r="X133" s="85"/>
      <c r="Y133" s="85"/>
      <c r="Z133" s="85"/>
      <c r="AA133" s="85"/>
      <c r="AB133" s="85"/>
      <c r="AC133" s="83">
        <f t="shared" si="74"/>
        <v>0</v>
      </c>
    </row>
    <row r="134" spans="1:30" ht="15" customHeight="1">
      <c r="A134" s="93">
        <v>1811200580</v>
      </c>
      <c r="B134" s="109" t="str">
        <f t="shared" si="71"/>
        <v>580</v>
      </c>
      <c r="C134" s="109" t="str">
        <f t="shared" si="72"/>
        <v>811200</v>
      </c>
      <c r="D134" s="93" t="s">
        <v>464</v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>
        <f>VLOOKUP(A:A,'[1]דוח כספי 31.10'!A:J,9,0)</f>
        <v>0</v>
      </c>
      <c r="P134" s="95">
        <f>VLOOKUP(A:A,'[1]דוח כספי 31.10'!A:D,4,0)</f>
        <v>0</v>
      </c>
      <c r="Q134" s="95">
        <f t="shared" si="73"/>
        <v>0</v>
      </c>
      <c r="R134" s="200"/>
      <c r="S134" s="97"/>
      <c r="T134" s="91"/>
      <c r="U134" s="85"/>
      <c r="V134" s="98"/>
      <c r="W134" s="85"/>
      <c r="X134" s="85"/>
      <c r="Y134" s="85"/>
      <c r="Z134" s="85"/>
      <c r="AA134" s="85"/>
      <c r="AB134" s="85"/>
      <c r="AC134" s="83">
        <f t="shared" si="74"/>
        <v>0</v>
      </c>
    </row>
    <row r="135" spans="1:30" ht="15" customHeight="1">
      <c r="A135" s="93">
        <v>1811200810</v>
      </c>
      <c r="B135" s="109" t="str">
        <f t="shared" si="71"/>
        <v>810</v>
      </c>
      <c r="C135" s="109" t="str">
        <f t="shared" si="72"/>
        <v>811200</v>
      </c>
      <c r="D135" s="93" t="s">
        <v>464</v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>
        <f>VLOOKUP(A:A,'[1]דוח כספי 31.10'!A:J,9,0)</f>
        <v>550000</v>
      </c>
      <c r="P135" s="95">
        <f>VLOOKUP(A:A,'[1]דוח כספי 31.10'!A:D,4,0)</f>
        <v>399718</v>
      </c>
      <c r="Q135" s="95">
        <v>400000</v>
      </c>
      <c r="R135" s="200"/>
      <c r="S135" s="97"/>
      <c r="T135" s="91"/>
      <c r="U135" s="85"/>
      <c r="V135" s="98"/>
      <c r="W135" s="85"/>
      <c r="X135" s="85"/>
      <c r="Y135" s="85"/>
      <c r="Z135" s="85"/>
      <c r="AA135" s="85"/>
      <c r="AB135" s="85"/>
      <c r="AC135" s="83">
        <f t="shared" si="74"/>
        <v>150282</v>
      </c>
    </row>
    <row r="136" spans="1:30" ht="15" customHeight="1">
      <c r="A136" s="206"/>
      <c r="B136" s="201"/>
      <c r="C136" s="201"/>
      <c r="D136" s="202" t="s">
        <v>465</v>
      </c>
      <c r="E136" s="203" t="e">
        <f>SUM(#REF!)</f>
        <v>#REF!</v>
      </c>
      <c r="F136" s="203" t="e">
        <f>SUM(#REF!)</f>
        <v>#REF!</v>
      </c>
      <c r="G136" s="203" t="e">
        <f>SUM(#REF!)</f>
        <v>#REF!</v>
      </c>
      <c r="H136" s="203" t="e">
        <f>SUM(#REF!)</f>
        <v>#REF!</v>
      </c>
      <c r="I136" s="203" t="e">
        <f>SUM(#REF!)</f>
        <v>#REF!</v>
      </c>
      <c r="J136" s="203" t="e">
        <f>SUM(#REF!)</f>
        <v>#REF!</v>
      </c>
      <c r="K136" s="203" t="e">
        <f>SUM(#REF!)</f>
        <v>#REF!</v>
      </c>
      <c r="L136" s="203" t="e">
        <f>SUM(#REF!)</f>
        <v>#REF!</v>
      </c>
      <c r="M136" s="203" t="e">
        <f>SUM(#REF!)</f>
        <v>#REF!</v>
      </c>
      <c r="N136" s="203" t="e">
        <f>SUM(#REF!)</f>
        <v>#REF!</v>
      </c>
      <c r="O136" s="203">
        <f>SUM(O129:O135)</f>
        <v>1047000</v>
      </c>
      <c r="P136" s="203">
        <f t="shared" ref="P136:R136" si="75">SUM(P129:P135)</f>
        <v>805370.44</v>
      </c>
      <c r="Q136" s="203">
        <f t="shared" si="75"/>
        <v>970000</v>
      </c>
      <c r="R136" s="203">
        <f t="shared" si="75"/>
        <v>0</v>
      </c>
      <c r="S136" s="205"/>
      <c r="T136" s="91"/>
      <c r="U136" s="85">
        <f>IF(ISBLANK(A136),1,--OR(K136&gt;1,L136&gt;1,M136&gt;1))</f>
        <v>1</v>
      </c>
      <c r="V136" s="98" t="e">
        <f t="shared" si="70"/>
        <v>#REF!</v>
      </c>
      <c r="W136" s="85"/>
      <c r="X136" s="85"/>
      <c r="Y136" s="85"/>
      <c r="Z136" s="85"/>
      <c r="AA136" s="85"/>
      <c r="AB136" s="85"/>
      <c r="AC136" s="83">
        <f t="shared" si="74"/>
        <v>241629.56000000006</v>
      </c>
    </row>
    <row r="137" spans="1:30" ht="19.5" customHeight="1">
      <c r="A137" s="93">
        <v>1812000560</v>
      </c>
      <c r="B137" s="109" t="str">
        <f t="shared" si="71"/>
        <v>560</v>
      </c>
      <c r="C137" s="109" t="str">
        <f t="shared" ref="C137:C147" si="76">MID(A137,2,6)</f>
        <v>812000</v>
      </c>
      <c r="D137" s="93" t="s">
        <v>466</v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>
        <f>VLOOKUP(A:A,'[1]דוח כספי 31.10'!A:J,9,0)</f>
        <v>44000</v>
      </c>
      <c r="P137" s="95">
        <f>VLOOKUP(A:A,'[1]דוח כספי 31.10'!A:D,4,0)</f>
        <v>6971</v>
      </c>
      <c r="Q137" s="95">
        <v>9000</v>
      </c>
      <c r="R137" s="200"/>
      <c r="S137" s="97"/>
      <c r="T137" s="91"/>
      <c r="U137" s="85"/>
      <c r="V137" s="98"/>
      <c r="W137" s="85"/>
      <c r="X137" s="85"/>
      <c r="Y137" s="85"/>
      <c r="Z137" s="85"/>
      <c r="AA137" s="85"/>
      <c r="AB137" s="85"/>
      <c r="AC137" s="83">
        <f t="shared" si="74"/>
        <v>37029</v>
      </c>
    </row>
    <row r="138" spans="1:30" ht="18" customHeight="1">
      <c r="A138" s="93">
        <v>1812200110</v>
      </c>
      <c r="B138" s="109" t="str">
        <f t="shared" si="71"/>
        <v>110</v>
      </c>
      <c r="C138" s="109" t="str">
        <f t="shared" si="76"/>
        <v>812200</v>
      </c>
      <c r="D138" s="93" t="s">
        <v>462</v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>
        <f>VLOOKUP(A:A,'[1]דוח כספי 31.10'!A:J,9,0)</f>
        <v>3668000</v>
      </c>
      <c r="P138" s="95">
        <f>VLOOKUP(A:A,'[1]דוח כספי 31.10'!A:D,4,0)</f>
        <v>2842845.45</v>
      </c>
      <c r="Q138" s="95">
        <v>3910000</v>
      </c>
      <c r="R138" s="200"/>
      <c r="S138" s="97"/>
      <c r="T138" s="91"/>
      <c r="U138" s="85"/>
      <c r="V138" s="98"/>
      <c r="W138" s="85"/>
      <c r="X138" s="85"/>
      <c r="Y138" s="85"/>
      <c r="Z138" s="85"/>
      <c r="AA138" s="85"/>
      <c r="AB138" s="85"/>
      <c r="AC138"/>
    </row>
    <row r="139" spans="1:30" ht="19.5" customHeight="1">
      <c r="A139" s="93">
        <v>1812200410</v>
      </c>
      <c r="B139" s="109" t="str">
        <f t="shared" si="71"/>
        <v>410</v>
      </c>
      <c r="C139" s="109" t="str">
        <f t="shared" si="76"/>
        <v>812200</v>
      </c>
      <c r="D139" s="93" t="s">
        <v>467</v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>
        <f>VLOOKUP(A:A,'[1]דוח כספי 31.10'!A:J,9,0)</f>
        <v>16000</v>
      </c>
      <c r="P139" s="95">
        <f>VLOOKUP(A:A,'[1]דוח כספי 31.10'!A:D,4,0)</f>
        <v>0</v>
      </c>
      <c r="Q139" s="95">
        <f t="shared" ref="Q139:Q146" si="77">P139/10*12</f>
        <v>0</v>
      </c>
      <c r="R139" s="200"/>
      <c r="S139" s="97"/>
      <c r="T139" s="91"/>
      <c r="U139" s="85"/>
      <c r="V139" s="98"/>
      <c r="W139" s="85"/>
      <c r="X139" s="85"/>
      <c r="Y139" s="85"/>
      <c r="Z139" s="85"/>
      <c r="AA139" s="85"/>
      <c r="AB139" s="85"/>
      <c r="AC139" s="83">
        <f t="shared" ref="AC139:AC148" si="78">O139-P139</f>
        <v>16000</v>
      </c>
    </row>
    <row r="140" spans="1:30" ht="15" customHeight="1">
      <c r="A140" s="93">
        <v>1812200431</v>
      </c>
      <c r="B140" s="109" t="str">
        <f t="shared" si="71"/>
        <v>431</v>
      </c>
      <c r="C140" s="109" t="str">
        <f t="shared" si="76"/>
        <v>812200</v>
      </c>
      <c r="D140" s="93" t="s">
        <v>468</v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>
        <f>VLOOKUP(A:A,'[1]דוח כספי 31.10'!A:J,9,0)</f>
        <v>119000</v>
      </c>
      <c r="P140" s="95">
        <f>VLOOKUP(A:A,'[1]דוח כספי 31.10'!A:D,4,0)</f>
        <v>84853.04</v>
      </c>
      <c r="Q140" s="95">
        <v>119000</v>
      </c>
      <c r="R140" s="200"/>
      <c r="S140" s="97"/>
      <c r="T140" s="91"/>
      <c r="U140" s="85"/>
      <c r="V140" s="98"/>
      <c r="W140" s="85"/>
      <c r="X140" s="85"/>
      <c r="Y140" s="85"/>
      <c r="Z140" s="85"/>
      <c r="AA140" s="85"/>
      <c r="AB140" s="85"/>
      <c r="AC140" s="83">
        <f t="shared" si="78"/>
        <v>34146.960000000006</v>
      </c>
    </row>
    <row r="141" spans="1:30" ht="15" customHeight="1">
      <c r="A141" s="93">
        <v>1812200450</v>
      </c>
      <c r="B141" s="109" t="str">
        <f t="shared" si="71"/>
        <v>450</v>
      </c>
      <c r="C141" s="109" t="str">
        <f t="shared" si="76"/>
        <v>812200</v>
      </c>
      <c r="D141" s="93" t="s">
        <v>469</v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>
        <f>VLOOKUP(A:A,'[1]דוח כספי 31.10'!A:J,9,0)</f>
        <v>0</v>
      </c>
      <c r="P141" s="95">
        <f>VLOOKUP(A:A,'[1]דוח כספי 31.10'!A:D,4,0)</f>
        <v>0</v>
      </c>
      <c r="Q141" s="95">
        <f t="shared" si="77"/>
        <v>0</v>
      </c>
      <c r="R141" s="200"/>
      <c r="S141" s="97"/>
      <c r="T141" s="91"/>
      <c r="U141" s="85"/>
      <c r="V141" s="98"/>
      <c r="W141" s="85"/>
      <c r="X141" s="85"/>
      <c r="Y141" s="85"/>
      <c r="Z141" s="85"/>
      <c r="AA141" s="85"/>
      <c r="AB141" s="85"/>
      <c r="AC141" s="83">
        <f t="shared" si="78"/>
        <v>0</v>
      </c>
      <c r="AD141">
        <v>0</v>
      </c>
    </row>
    <row r="142" spans="1:30" ht="15" customHeight="1">
      <c r="A142" s="93">
        <v>1812200650</v>
      </c>
      <c r="B142" s="109" t="str">
        <f t="shared" si="71"/>
        <v>650</v>
      </c>
      <c r="C142" s="109" t="str">
        <f t="shared" si="76"/>
        <v>812200</v>
      </c>
      <c r="D142" s="93" t="s">
        <v>470</v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>
        <f>VLOOKUP(A:A,'[1]דוח כספי 31.10'!A:J,9,0)</f>
        <v>0</v>
      </c>
      <c r="P142" s="95">
        <f>VLOOKUP(A:A,'[1]דוח כספי 31.10'!A:D,4,0)</f>
        <v>72409</v>
      </c>
      <c r="Q142" s="95">
        <v>73000</v>
      </c>
      <c r="R142" s="200"/>
      <c r="S142" s="97"/>
      <c r="T142" s="91"/>
      <c r="U142" s="85"/>
      <c r="V142" s="98"/>
      <c r="W142" s="85"/>
      <c r="X142" s="85"/>
      <c r="Y142" s="85"/>
      <c r="Z142" s="85"/>
      <c r="AA142" s="85"/>
      <c r="AB142" s="85"/>
      <c r="AC142" s="83">
        <f t="shared" si="78"/>
        <v>-72409</v>
      </c>
    </row>
    <row r="143" spans="1:30" ht="15" customHeight="1">
      <c r="A143" s="93">
        <v>1812200720</v>
      </c>
      <c r="B143" s="109" t="str">
        <f t="shared" si="71"/>
        <v>720</v>
      </c>
      <c r="C143" s="109" t="str">
        <f t="shared" si="76"/>
        <v>812200</v>
      </c>
      <c r="D143" s="93" t="s">
        <v>471</v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>
        <f>VLOOKUP(A:A,'[1]דוח כספי 31.10'!A:J,9,0)</f>
        <v>15000</v>
      </c>
      <c r="P143" s="95"/>
      <c r="Q143" s="95"/>
      <c r="R143" s="200"/>
      <c r="S143" s="97"/>
      <c r="T143" s="91"/>
      <c r="U143" s="85"/>
      <c r="V143" s="98"/>
      <c r="W143" s="85"/>
      <c r="X143" s="85"/>
      <c r="Y143" s="85"/>
      <c r="Z143" s="85"/>
      <c r="AA143" s="85"/>
      <c r="AB143" s="85"/>
      <c r="AC143" s="83">
        <f t="shared" si="78"/>
        <v>15000</v>
      </c>
    </row>
    <row r="144" spans="1:30" ht="15" customHeight="1">
      <c r="A144" s="93">
        <v>1812200740</v>
      </c>
      <c r="B144" s="109" t="str">
        <f t="shared" si="71"/>
        <v>740</v>
      </c>
      <c r="C144" s="109" t="str">
        <f t="shared" si="76"/>
        <v>812200</v>
      </c>
      <c r="D144" s="93" t="s">
        <v>472</v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>
        <f>VLOOKUP(A:A,'[1]דוח כספי 31.10'!A:J,9,0)</f>
        <v>128000</v>
      </c>
      <c r="P144" s="95">
        <f>VLOOKUP(A:A,'[1]דוח כספי 31.10'!A:D,4,0)</f>
        <v>16289</v>
      </c>
      <c r="Q144" s="95">
        <v>20000</v>
      </c>
      <c r="R144" s="200"/>
      <c r="S144" s="97"/>
      <c r="T144" s="91"/>
      <c r="U144" s="85"/>
      <c r="V144" s="98"/>
      <c r="W144" s="85"/>
      <c r="X144" s="85"/>
      <c r="Y144" s="85"/>
      <c r="Z144" s="85"/>
      <c r="AA144" s="85"/>
      <c r="AB144" s="85"/>
      <c r="AC144" s="83">
        <f t="shared" si="78"/>
        <v>111711</v>
      </c>
    </row>
    <row r="145" spans="1:30" ht="15" customHeight="1">
      <c r="A145" s="93">
        <v>1812200750</v>
      </c>
      <c r="B145" s="109" t="str">
        <f t="shared" si="71"/>
        <v>750</v>
      </c>
      <c r="C145" s="109" t="str">
        <f t="shared" si="76"/>
        <v>812200</v>
      </c>
      <c r="D145" s="93" t="s">
        <v>473</v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>
        <f>VLOOKUP(A:A,'[1]דוח כספי 31.10'!A:J,9,0)</f>
        <v>80000</v>
      </c>
      <c r="P145" s="95">
        <f>VLOOKUP(A:A,'[1]דוח כספי 31.10'!A:D,4,0)</f>
        <v>16244.37</v>
      </c>
      <c r="Q145" s="95">
        <v>20000</v>
      </c>
      <c r="R145" s="200"/>
      <c r="S145" s="97"/>
      <c r="T145" s="91"/>
      <c r="U145" s="85"/>
      <c r="V145" s="98"/>
      <c r="W145" s="85"/>
      <c r="X145" s="85"/>
      <c r="Y145" s="85"/>
      <c r="Z145" s="85"/>
      <c r="AA145" s="85"/>
      <c r="AB145" s="85"/>
      <c r="AC145" s="83">
        <f t="shared" si="78"/>
        <v>63755.63</v>
      </c>
      <c r="AD145">
        <v>0</v>
      </c>
    </row>
    <row r="146" spans="1:30" ht="15" customHeight="1">
      <c r="A146" s="93">
        <v>1812200810</v>
      </c>
      <c r="B146" s="109" t="str">
        <f t="shared" si="71"/>
        <v>810</v>
      </c>
      <c r="C146" s="109" t="str">
        <f t="shared" si="76"/>
        <v>812200</v>
      </c>
      <c r="D146" s="93" t="s">
        <v>97</v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>
        <f>VLOOKUP(A:A,'[1]דוח כספי 31.10'!A:J,9,0)</f>
        <v>1885000</v>
      </c>
      <c r="P146" s="95">
        <f>1631000+164000</f>
        <v>1795000</v>
      </c>
      <c r="Q146" s="95">
        <f t="shared" si="77"/>
        <v>2154000</v>
      </c>
      <c r="R146" s="200"/>
      <c r="S146" s="97"/>
      <c r="T146" s="91"/>
      <c r="U146" s="85"/>
      <c r="V146" s="98"/>
      <c r="W146" s="85"/>
      <c r="X146" s="85"/>
      <c r="Y146" s="85"/>
      <c r="Z146" s="85"/>
      <c r="AA146" s="85"/>
      <c r="AB146" s="85"/>
      <c r="AC146" s="83">
        <f t="shared" si="78"/>
        <v>90000</v>
      </c>
      <c r="AD146">
        <v>0</v>
      </c>
    </row>
    <row r="147" spans="1:30" ht="15" customHeight="1">
      <c r="A147" s="93">
        <v>1812210810</v>
      </c>
      <c r="B147" s="109" t="str">
        <f t="shared" si="71"/>
        <v>810</v>
      </c>
      <c r="C147" s="109" t="str">
        <f t="shared" si="76"/>
        <v>812210</v>
      </c>
      <c r="D147" s="93" t="s">
        <v>95</v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>
        <f>VLOOKUP(A:A,'[1]דוח כספי 31.10'!A:J,9,0)</f>
        <v>0</v>
      </c>
      <c r="P147" s="95">
        <v>910000</v>
      </c>
      <c r="Q147" s="95">
        <v>1320000</v>
      </c>
      <c r="R147" s="200"/>
      <c r="S147" s="97"/>
      <c r="T147" s="91"/>
      <c r="U147" s="85"/>
      <c r="V147" s="98"/>
      <c r="W147" s="85"/>
      <c r="X147" s="85"/>
      <c r="Y147" s="85"/>
      <c r="Z147" s="85"/>
      <c r="AA147" s="85"/>
      <c r="AB147" s="85"/>
      <c r="AC147" s="83">
        <f t="shared" si="78"/>
        <v>-910000</v>
      </c>
      <c r="AD147">
        <v>0</v>
      </c>
    </row>
    <row r="148" spans="1:30" ht="15" customHeight="1">
      <c r="A148" s="206"/>
      <c r="B148" s="201"/>
      <c r="C148" s="201"/>
      <c r="D148" s="202" t="s">
        <v>478</v>
      </c>
      <c r="E148" s="203" t="e">
        <f>SUM(#REF!)</f>
        <v>#REF!</v>
      </c>
      <c r="F148" s="203" t="e">
        <f>SUM(#REF!)</f>
        <v>#REF!</v>
      </c>
      <c r="G148" s="203" t="e">
        <f>SUM(#REF!)</f>
        <v>#REF!</v>
      </c>
      <c r="H148" s="203" t="e">
        <f>SUM(#REF!)</f>
        <v>#REF!</v>
      </c>
      <c r="I148" s="203" t="e">
        <f>SUM(#REF!)</f>
        <v>#REF!</v>
      </c>
      <c r="J148" s="203" t="e">
        <f>SUM(#REF!)</f>
        <v>#REF!</v>
      </c>
      <c r="K148" s="203" t="e">
        <f>SUM(#REF!)</f>
        <v>#REF!</v>
      </c>
      <c r="L148" s="203" t="e">
        <f>SUM(#REF!)</f>
        <v>#REF!</v>
      </c>
      <c r="M148" s="203" t="e">
        <f>SUM(#REF!)</f>
        <v>#REF!</v>
      </c>
      <c r="N148" s="203" t="e">
        <f>SUM(#REF!)</f>
        <v>#REF!</v>
      </c>
      <c r="O148" s="203">
        <f>SUM(O137:O147)</f>
        <v>5955000</v>
      </c>
      <c r="P148" s="203">
        <f t="shared" ref="P148:R148" si="79">SUM(P137:P147)</f>
        <v>5744611.8600000003</v>
      </c>
      <c r="Q148" s="203">
        <f t="shared" si="79"/>
        <v>7625000</v>
      </c>
      <c r="R148" s="203">
        <f t="shared" si="79"/>
        <v>0</v>
      </c>
      <c r="S148" s="205"/>
      <c r="T148" s="91"/>
      <c r="U148" s="85">
        <f>IF(ISBLANK(A148),1,--OR(K148&gt;1,L148&gt;1,M148&gt;1))</f>
        <v>1</v>
      </c>
      <c r="V148" s="98">
        <v>0</v>
      </c>
      <c r="W148" s="85"/>
      <c r="X148" s="85"/>
      <c r="Y148" s="85"/>
      <c r="Z148" s="85"/>
      <c r="AA148" s="85"/>
      <c r="AB148" s="85"/>
      <c r="AC148" s="83">
        <f t="shared" si="78"/>
        <v>210388.13999999966</v>
      </c>
      <c r="AD148">
        <v>0</v>
      </c>
    </row>
    <row r="149" spans="1:30" ht="18.75" customHeight="1">
      <c r="A149" s="93">
        <v>1813200110</v>
      </c>
      <c r="B149" s="109" t="str">
        <f t="shared" si="71"/>
        <v>110</v>
      </c>
      <c r="C149" s="109" t="str">
        <f t="shared" ref="C149:C175" si="80">MID(A149,2,6)</f>
        <v>813200</v>
      </c>
      <c r="D149" s="93" t="s">
        <v>479</v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>
        <v>109000</v>
      </c>
      <c r="P149" s="95">
        <v>90000</v>
      </c>
      <c r="Q149" s="95">
        <v>130000</v>
      </c>
      <c r="R149" s="200"/>
      <c r="S149" s="97"/>
      <c r="T149" s="91"/>
      <c r="U149" s="85"/>
      <c r="V149" s="98"/>
      <c r="W149" s="85"/>
      <c r="X149" s="85"/>
      <c r="Y149" s="85"/>
      <c r="Z149" s="85"/>
      <c r="AA149" s="85"/>
      <c r="AB149" s="85"/>
      <c r="AC149"/>
      <c r="AD149">
        <v>0</v>
      </c>
    </row>
    <row r="150" spans="1:30" ht="15" customHeight="1">
      <c r="A150" s="93">
        <v>1813200420</v>
      </c>
      <c r="B150" s="109" t="str">
        <f t="shared" si="71"/>
        <v>420</v>
      </c>
      <c r="C150" s="109" t="str">
        <f t="shared" si="80"/>
        <v>813200</v>
      </c>
      <c r="D150" s="93" t="s">
        <v>480</v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>
        <f>VLOOKUP(A:A,'[1]דוח כספי 31.10'!A:J,9,0)</f>
        <v>39000</v>
      </c>
      <c r="P150" s="95">
        <f>VLOOKUP(A:A,'[1]דוח כספי 31.10'!A:D,4,0)</f>
        <v>4601</v>
      </c>
      <c r="Q150" s="95">
        <v>6000</v>
      </c>
      <c r="R150" s="200"/>
      <c r="S150" s="97"/>
      <c r="T150" s="91"/>
      <c r="U150" s="85"/>
      <c r="V150" s="98"/>
      <c r="W150" s="85"/>
      <c r="X150" s="85"/>
      <c r="Y150" s="85"/>
      <c r="Z150" s="85"/>
      <c r="AA150" s="85"/>
      <c r="AB150" s="85"/>
      <c r="AC150" s="83">
        <f t="shared" ref="AC150:AC161" si="81">O150-P150</f>
        <v>34399</v>
      </c>
    </row>
    <row r="151" spans="1:30" ht="15" customHeight="1">
      <c r="A151" s="93">
        <v>1813200431</v>
      </c>
      <c r="B151" s="109" t="str">
        <f t="shared" si="71"/>
        <v>431</v>
      </c>
      <c r="C151" s="109" t="str">
        <f t="shared" si="80"/>
        <v>813200</v>
      </c>
      <c r="D151" s="93" t="s">
        <v>481</v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>
        <f>VLOOKUP(A:A,'[1]דוח כספי 31.10'!A:J,9,0)</f>
        <v>199000</v>
      </c>
      <c r="P151" s="95">
        <f>VLOOKUP(A:A,'[1]דוח כספי 31.10'!A:D,4,0)</f>
        <v>95541.68</v>
      </c>
      <c r="Q151" s="95">
        <v>115000</v>
      </c>
      <c r="R151" s="200"/>
      <c r="S151" s="97"/>
      <c r="T151" s="91"/>
      <c r="U151" s="85"/>
      <c r="V151" s="98"/>
      <c r="W151" s="85"/>
      <c r="X151" s="85"/>
      <c r="Y151" s="85"/>
      <c r="Z151" s="85"/>
      <c r="AA151" s="85"/>
      <c r="AB151" s="85"/>
      <c r="AC151" s="83">
        <f t="shared" si="81"/>
        <v>103458.32</v>
      </c>
    </row>
    <row r="152" spans="1:30" ht="15" customHeight="1">
      <c r="A152" s="207">
        <v>1813200432</v>
      </c>
      <c r="B152" s="208" t="str">
        <f t="shared" si="71"/>
        <v>432</v>
      </c>
      <c r="C152" s="208" t="str">
        <f t="shared" si="80"/>
        <v>813200</v>
      </c>
      <c r="D152" s="207" t="s">
        <v>325</v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209">
        <f>VLOOKUP(A:A,'[1]דוח כספי 31.10'!A:J,9,0)</f>
        <v>75000</v>
      </c>
      <c r="P152" s="95">
        <f>VLOOKUP(A:A,'[1]דוח כספי 31.10'!A:D,4,0)</f>
        <v>0</v>
      </c>
      <c r="Q152" s="209">
        <v>24500</v>
      </c>
      <c r="R152" s="200"/>
      <c r="S152" s="97"/>
      <c r="T152" s="91"/>
      <c r="U152" s="85"/>
      <c r="V152" s="98"/>
      <c r="W152" s="85"/>
      <c r="X152" s="85"/>
      <c r="Y152" s="85"/>
      <c r="Z152" s="85"/>
      <c r="AA152" s="85"/>
      <c r="AB152" s="85"/>
      <c r="AC152" s="83">
        <f t="shared" si="81"/>
        <v>75000</v>
      </c>
    </row>
    <row r="153" spans="1:30" ht="15" customHeight="1">
      <c r="A153" s="93">
        <v>1813200433</v>
      </c>
      <c r="B153" s="109" t="str">
        <f t="shared" si="71"/>
        <v>433</v>
      </c>
      <c r="C153" s="109" t="str">
        <f t="shared" si="80"/>
        <v>813200</v>
      </c>
      <c r="D153" s="93" t="s">
        <v>482</v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>
        <f>VLOOKUP(A:A,'[1]דוח כספי 31.10'!A:J,9,0)</f>
        <v>2000</v>
      </c>
      <c r="P153" s="95">
        <f>VLOOKUP(A:A,'[1]דוח כספי 31.10'!A:D,4,0)</f>
        <v>1590</v>
      </c>
      <c r="Q153" s="95">
        <v>2000</v>
      </c>
      <c r="R153" s="200"/>
      <c r="S153" s="97"/>
      <c r="T153" s="91"/>
      <c r="U153" s="85"/>
      <c r="V153" s="98"/>
      <c r="W153" s="85"/>
      <c r="X153" s="85"/>
      <c r="Y153" s="85"/>
      <c r="Z153" s="85"/>
      <c r="AA153" s="85"/>
      <c r="AB153" s="85"/>
      <c r="AC153" s="83">
        <f t="shared" si="81"/>
        <v>410</v>
      </c>
    </row>
    <row r="154" spans="1:30" ht="15" customHeight="1">
      <c r="A154" s="93">
        <v>1813200440</v>
      </c>
      <c r="B154" s="109" t="str">
        <f t="shared" si="71"/>
        <v>440</v>
      </c>
      <c r="C154" s="109" t="str">
        <f t="shared" si="80"/>
        <v>813200</v>
      </c>
      <c r="D154" s="93" t="s">
        <v>354</v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>
        <f>VLOOKUP(A:A,'[1]דוח כספי 31.10'!A:J,9,0)</f>
        <v>150000</v>
      </c>
      <c r="P154" s="95">
        <f>VLOOKUP(A:A,'[1]דוח כספי 31.10'!A:D,4,0)</f>
        <v>0</v>
      </c>
      <c r="Q154" s="95">
        <f t="shared" ref="Q154:Q161" si="82">P154/10*12</f>
        <v>0</v>
      </c>
      <c r="R154" s="200"/>
      <c r="S154" s="97"/>
      <c r="T154" s="91"/>
      <c r="U154" s="85"/>
      <c r="V154" s="98"/>
      <c r="W154" s="85"/>
      <c r="X154" s="85"/>
      <c r="Y154" s="85"/>
      <c r="Z154" s="85"/>
      <c r="AA154" s="85"/>
      <c r="AB154" s="85"/>
      <c r="AC154" s="83">
        <f t="shared" si="81"/>
        <v>150000</v>
      </c>
      <c r="AD154">
        <v>0</v>
      </c>
    </row>
    <row r="155" spans="1:30" ht="15" customHeight="1">
      <c r="A155" s="93">
        <v>1813200450</v>
      </c>
      <c r="B155" s="109" t="str">
        <f t="shared" si="71"/>
        <v>450</v>
      </c>
      <c r="C155" s="109" t="str">
        <f t="shared" si="80"/>
        <v>813200</v>
      </c>
      <c r="D155" s="93" t="s">
        <v>483</v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>
        <f>VLOOKUP(A:A,'[1]דוח כספי 31.10'!A:J,9,0)</f>
        <v>9000</v>
      </c>
      <c r="P155" s="95">
        <f>VLOOKUP(A:A,'[1]דוח כספי 31.10'!A:D,4,0)</f>
        <v>0</v>
      </c>
      <c r="Q155" s="95">
        <f t="shared" si="82"/>
        <v>0</v>
      </c>
      <c r="R155" s="200"/>
      <c r="S155" s="97"/>
      <c r="T155" s="91"/>
      <c r="U155" s="85"/>
      <c r="V155" s="98"/>
      <c r="W155" s="85"/>
      <c r="X155" s="85"/>
      <c r="Y155" s="85"/>
      <c r="Z155" s="85"/>
      <c r="AA155" s="85"/>
      <c r="AB155" s="85"/>
      <c r="AC155" s="83">
        <f t="shared" si="81"/>
        <v>9000</v>
      </c>
      <c r="AD155">
        <v>0</v>
      </c>
    </row>
    <row r="156" spans="1:30" ht="15" customHeight="1">
      <c r="A156" s="93">
        <v>1813200470</v>
      </c>
      <c r="B156" s="109" t="str">
        <f t="shared" si="71"/>
        <v>470</v>
      </c>
      <c r="C156" s="109" t="str">
        <f t="shared" si="80"/>
        <v>813200</v>
      </c>
      <c r="D156" s="93" t="s">
        <v>484</v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>
        <f>VLOOKUP(A:A,'[1]דוח כספי 31.10'!A:J,9,0)</f>
        <v>43000</v>
      </c>
      <c r="P156" s="95">
        <f>VLOOKUP(A:A,'[1]דוח כספי 31.10'!A:D,4,0)</f>
        <v>30447</v>
      </c>
      <c r="Q156" s="95">
        <v>40000</v>
      </c>
      <c r="R156" s="200"/>
      <c r="S156" s="97"/>
      <c r="T156" s="91"/>
      <c r="U156" s="85"/>
      <c r="V156" s="98"/>
      <c r="W156" s="85"/>
      <c r="X156" s="85"/>
      <c r="Y156" s="85"/>
      <c r="Z156" s="85"/>
      <c r="AA156" s="85"/>
      <c r="AB156" s="85"/>
      <c r="AC156" s="83">
        <f t="shared" si="81"/>
        <v>12553</v>
      </c>
      <c r="AD156">
        <v>0</v>
      </c>
    </row>
    <row r="157" spans="1:30" ht="15" customHeight="1">
      <c r="A157" s="93">
        <v>1813200540</v>
      </c>
      <c r="B157" s="109" t="str">
        <f t="shared" si="71"/>
        <v>540</v>
      </c>
      <c r="C157" s="109" t="str">
        <f t="shared" si="80"/>
        <v>813200</v>
      </c>
      <c r="D157" s="93" t="s">
        <v>485</v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>
        <f>VLOOKUP(A:A,'[1]דוח כספי 31.10'!A:J,9,0)</f>
        <v>21000</v>
      </c>
      <c r="P157" s="95">
        <f>VLOOKUP(A:A,'[1]דוח כספי 31.10'!A:D,4,0)</f>
        <v>28950.81</v>
      </c>
      <c r="Q157" s="95">
        <v>35000</v>
      </c>
      <c r="R157" s="200"/>
      <c r="S157" s="97"/>
      <c r="T157" s="91"/>
      <c r="U157" s="85"/>
      <c r="V157" s="98"/>
      <c r="W157" s="85"/>
      <c r="X157" s="85"/>
      <c r="Y157" s="85"/>
      <c r="Z157" s="85"/>
      <c r="AA157" s="85"/>
      <c r="AB157" s="85"/>
      <c r="AC157" s="83">
        <f t="shared" si="81"/>
        <v>-7950.8100000000013</v>
      </c>
      <c r="AD157">
        <v>0</v>
      </c>
    </row>
    <row r="158" spans="1:30" ht="15" customHeight="1">
      <c r="A158" s="93">
        <v>1813200560</v>
      </c>
      <c r="B158" s="109" t="str">
        <f t="shared" si="71"/>
        <v>560</v>
      </c>
      <c r="C158" s="109" t="str">
        <f t="shared" si="80"/>
        <v>813200</v>
      </c>
      <c r="D158" s="93" t="s">
        <v>486</v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>
        <f>VLOOKUP(A:A,'[1]דוח כספי 31.10'!A:J,9,0)</f>
        <v>107000</v>
      </c>
      <c r="P158" s="95">
        <f>VLOOKUP(A:A,'[1]דוח כספי 31.10'!A:D,4,0)</f>
        <v>17654</v>
      </c>
      <c r="Q158" s="95">
        <v>22000</v>
      </c>
      <c r="R158" s="200"/>
      <c r="S158" s="97"/>
      <c r="T158" s="91"/>
      <c r="U158" s="85"/>
      <c r="V158" s="98"/>
      <c r="W158" s="85"/>
      <c r="X158" s="85"/>
      <c r="Y158" s="85"/>
      <c r="Z158" s="85"/>
      <c r="AA158" s="85"/>
      <c r="AB158" s="85"/>
      <c r="AC158" s="83">
        <f t="shared" si="81"/>
        <v>89346</v>
      </c>
      <c r="AD158">
        <v>0</v>
      </c>
    </row>
    <row r="159" spans="1:30" ht="15" customHeight="1">
      <c r="A159" s="93">
        <v>1813200720</v>
      </c>
      <c r="B159" s="109" t="str">
        <f t="shared" si="71"/>
        <v>720</v>
      </c>
      <c r="C159" s="109" t="str">
        <f t="shared" si="80"/>
        <v>813200</v>
      </c>
      <c r="D159" s="93" t="s">
        <v>487</v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>
        <f>VLOOKUP(A:A,'[1]דוח כספי 31.10'!A:J,9,0)</f>
        <v>0</v>
      </c>
      <c r="P159" s="95">
        <f>VLOOKUP(A:A,'[1]דוח כספי 31.10'!A:D,4,0)</f>
        <v>0</v>
      </c>
      <c r="Q159" s="95">
        <f t="shared" si="82"/>
        <v>0</v>
      </c>
      <c r="R159" s="200"/>
      <c r="S159" s="97"/>
      <c r="T159" s="91"/>
      <c r="U159" s="85"/>
      <c r="V159" s="98"/>
      <c r="W159" s="85"/>
      <c r="X159" s="85"/>
      <c r="Y159" s="85"/>
      <c r="Z159" s="85"/>
      <c r="AA159" s="85"/>
      <c r="AB159" s="85"/>
      <c r="AC159" s="83">
        <f t="shared" si="81"/>
        <v>0</v>
      </c>
      <c r="AD159">
        <v>0</v>
      </c>
    </row>
    <row r="160" spans="1:30" ht="15" customHeight="1">
      <c r="A160" s="93">
        <v>1813200750</v>
      </c>
      <c r="B160" s="109" t="str">
        <f t="shared" si="71"/>
        <v>750</v>
      </c>
      <c r="C160" s="109" t="str">
        <f t="shared" si="80"/>
        <v>813200</v>
      </c>
      <c r="D160" s="93" t="s">
        <v>402</v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>
        <f>VLOOKUP(A:A,'[1]דוח כספי 31.10'!A:J,9,0)</f>
        <v>35000</v>
      </c>
      <c r="P160" s="95"/>
      <c r="Q160" s="95"/>
      <c r="R160" s="200"/>
      <c r="S160" s="97"/>
      <c r="T160" s="91"/>
      <c r="U160" s="85"/>
      <c r="V160" s="98"/>
      <c r="W160" s="85"/>
      <c r="X160" s="85"/>
      <c r="Y160" s="85"/>
      <c r="Z160" s="85"/>
      <c r="AA160" s="85"/>
      <c r="AB160" s="85"/>
      <c r="AC160" s="83">
        <f t="shared" si="81"/>
        <v>35000</v>
      </c>
      <c r="AD160">
        <v>0</v>
      </c>
    </row>
    <row r="161" spans="1:30" ht="15" customHeight="1">
      <c r="A161" s="93">
        <v>1813200930</v>
      </c>
      <c r="B161" s="109" t="str">
        <f t="shared" si="71"/>
        <v>930</v>
      </c>
      <c r="C161" s="109" t="str">
        <f t="shared" si="80"/>
        <v>813200</v>
      </c>
      <c r="D161" s="93" t="s">
        <v>390</v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>
        <f>VLOOKUP(A:A,'[1]דוח כספי 31.10'!A:J,9,0)</f>
        <v>40000</v>
      </c>
      <c r="P161" s="95">
        <f>VLOOKUP(A:A,'[1]דוח כספי 31.10'!A:D,4,0)</f>
        <v>0</v>
      </c>
      <c r="Q161" s="95">
        <f t="shared" si="82"/>
        <v>0</v>
      </c>
      <c r="R161" s="200"/>
      <c r="S161" s="97"/>
      <c r="T161" s="91"/>
      <c r="U161" s="85"/>
      <c r="V161" s="98"/>
      <c r="W161" s="85"/>
      <c r="X161" s="85"/>
      <c r="Y161" s="85"/>
      <c r="Z161" s="85"/>
      <c r="AA161" s="85"/>
      <c r="AB161" s="85"/>
      <c r="AC161" s="83">
        <f t="shared" si="81"/>
        <v>40000</v>
      </c>
    </row>
    <row r="162" spans="1:30" ht="16.5" customHeight="1">
      <c r="A162" s="93">
        <v>1813210110</v>
      </c>
      <c r="B162" s="109" t="str">
        <f t="shared" si="71"/>
        <v>110</v>
      </c>
      <c r="C162" s="109" t="str">
        <f t="shared" si="80"/>
        <v>813210</v>
      </c>
      <c r="D162" s="93" t="s">
        <v>488</v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>
        <f>VLOOKUP(A:A,'[1]דוח כספי 31.10'!A:J,9,0)</f>
        <v>348000</v>
      </c>
      <c r="P162" s="95">
        <f>VLOOKUP(A:A,'[1]דוח כספי 31.10'!A:D,4,0)</f>
        <v>341853.44</v>
      </c>
      <c r="Q162" s="95">
        <v>456000</v>
      </c>
      <c r="R162" s="200"/>
      <c r="S162" s="97"/>
      <c r="T162" s="91"/>
      <c r="U162" s="85"/>
      <c r="V162" s="98"/>
      <c r="W162" s="85"/>
      <c r="X162" s="85"/>
      <c r="Y162" s="85"/>
      <c r="Z162" s="85"/>
      <c r="AA162" s="85"/>
      <c r="AB162" s="85"/>
      <c r="AC162"/>
      <c r="AD162">
        <v>0</v>
      </c>
    </row>
    <row r="163" spans="1:30" ht="15" customHeight="1">
      <c r="A163" s="93">
        <v>1813210470</v>
      </c>
      <c r="B163" s="109" t="str">
        <f t="shared" si="71"/>
        <v>470</v>
      </c>
      <c r="C163" s="109" t="str">
        <f t="shared" si="80"/>
        <v>813210</v>
      </c>
      <c r="D163" s="93" t="s">
        <v>489</v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>
        <f>VLOOKUP(A:A,'[1]דוח כספי 31.10'!A:J,9,0)</f>
        <v>0</v>
      </c>
      <c r="P163" s="95">
        <f>VLOOKUP(A:A,'[1]דוח כספי 31.10'!A:D,4,0)</f>
        <v>200672</v>
      </c>
      <c r="Q163" s="95">
        <v>201000</v>
      </c>
      <c r="R163" s="200"/>
      <c r="S163" s="97"/>
      <c r="T163" s="91"/>
      <c r="U163" s="85"/>
      <c r="V163" s="98"/>
      <c r="W163" s="85"/>
      <c r="X163" s="85"/>
      <c r="Y163" s="85"/>
      <c r="Z163" s="85"/>
      <c r="AA163" s="85"/>
      <c r="AB163" s="85"/>
      <c r="AC163" s="83">
        <f t="shared" ref="AC163:AC165" si="83">O163-P163</f>
        <v>-200672</v>
      </c>
    </row>
    <row r="164" spans="1:30" ht="15" customHeight="1">
      <c r="A164" s="93">
        <v>1813210570</v>
      </c>
      <c r="B164" s="109" t="str">
        <f t="shared" si="71"/>
        <v>570</v>
      </c>
      <c r="C164" s="109" t="str">
        <f t="shared" si="80"/>
        <v>813210</v>
      </c>
      <c r="D164" s="93" t="s">
        <v>490</v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>
        <f>VLOOKUP(A:A,'[1]דוח כספי 31.10'!A:J,9,0)</f>
        <v>0</v>
      </c>
      <c r="P164" s="95">
        <f>VLOOKUP(A:A,'[1]דוח כספי 31.10'!A:D,4,0)</f>
        <v>68150</v>
      </c>
      <c r="Q164" s="95">
        <v>82000</v>
      </c>
      <c r="R164" s="200"/>
      <c r="S164" s="97"/>
      <c r="T164" s="91"/>
      <c r="U164" s="85"/>
      <c r="V164" s="98"/>
      <c r="W164" s="85"/>
      <c r="X164" s="85"/>
      <c r="Y164" s="85"/>
      <c r="Z164" s="85"/>
      <c r="AA164" s="85"/>
      <c r="AB164" s="85"/>
      <c r="AC164" s="83">
        <f t="shared" si="83"/>
        <v>-68150</v>
      </c>
    </row>
    <row r="165" spans="1:30" ht="17.25" customHeight="1">
      <c r="A165" s="93">
        <v>1813210750</v>
      </c>
      <c r="B165" s="109" t="str">
        <f t="shared" si="71"/>
        <v>750</v>
      </c>
      <c r="C165" s="109" t="str">
        <f t="shared" si="80"/>
        <v>813210</v>
      </c>
      <c r="D165" s="93" t="s">
        <v>491</v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>
        <f>VLOOKUP(A:A,'[1]דוח כספי 31.10'!A:J,9,0)</f>
        <v>0</v>
      </c>
      <c r="P165" s="95">
        <f>VLOOKUP(A:A,'[1]דוח כספי 31.10'!A:D,4,0)</f>
        <v>33497</v>
      </c>
      <c r="Q165" s="95">
        <v>40000</v>
      </c>
      <c r="R165" s="200"/>
      <c r="S165" s="97"/>
      <c r="T165" s="91"/>
      <c r="U165" s="85"/>
      <c r="V165" s="98"/>
      <c r="W165" s="85"/>
      <c r="X165" s="85"/>
      <c r="Y165" s="85"/>
      <c r="Z165" s="85"/>
      <c r="AA165" s="85"/>
      <c r="AB165" s="85"/>
      <c r="AC165" s="83">
        <f t="shared" si="83"/>
        <v>-33497</v>
      </c>
    </row>
    <row r="166" spans="1:30" ht="18.75" customHeight="1">
      <c r="A166" s="93">
        <v>1813220110</v>
      </c>
      <c r="B166" s="109" t="str">
        <f t="shared" si="71"/>
        <v>110</v>
      </c>
      <c r="C166" s="109" t="str">
        <f t="shared" si="80"/>
        <v>813220</v>
      </c>
      <c r="D166" s="93" t="s">
        <v>492</v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>
        <f>VLOOKUP(A:A,'[1]דוח כספי 31.10'!A:J,9,0)</f>
        <v>0</v>
      </c>
      <c r="P166" s="95">
        <f>VLOOKUP(A:A,'[1]דוח כספי 31.10'!A:D,4,0)</f>
        <v>0</v>
      </c>
      <c r="Q166" s="95">
        <f t="shared" ref="Q166" si="84">P166/9*12</f>
        <v>0</v>
      </c>
      <c r="R166" s="200"/>
      <c r="S166" s="97"/>
      <c r="T166" s="91"/>
      <c r="U166" s="85"/>
      <c r="V166" s="98"/>
      <c r="W166" s="85"/>
      <c r="X166" s="85"/>
      <c r="Y166" s="85"/>
      <c r="Z166" s="85"/>
      <c r="AA166" s="85"/>
      <c r="AB166" s="85"/>
      <c r="AC166"/>
    </row>
    <row r="167" spans="1:30" ht="16.5" customHeight="1">
      <c r="A167" s="206"/>
      <c r="B167" s="201"/>
      <c r="C167" s="201"/>
      <c r="D167" s="202" t="s">
        <v>496</v>
      </c>
      <c r="E167" s="203" t="e">
        <f>SUM(#REF!)</f>
        <v>#REF!</v>
      </c>
      <c r="F167" s="203" t="e">
        <f>SUM(#REF!)</f>
        <v>#REF!</v>
      </c>
      <c r="G167" s="203" t="e">
        <f>SUM(#REF!)</f>
        <v>#REF!</v>
      </c>
      <c r="H167" s="203" t="e">
        <f>SUM(#REF!)</f>
        <v>#REF!</v>
      </c>
      <c r="I167" s="203" t="e">
        <f>SUM(#REF!)</f>
        <v>#REF!</v>
      </c>
      <c r="J167" s="203" t="e">
        <f>SUM(#REF!)</f>
        <v>#REF!</v>
      </c>
      <c r="K167" s="203" t="e">
        <f>SUM(#REF!)</f>
        <v>#REF!</v>
      </c>
      <c r="L167" s="203" t="e">
        <f>SUM(#REF!)</f>
        <v>#REF!</v>
      </c>
      <c r="M167" s="203" t="e">
        <f>SUM(#REF!)</f>
        <v>#REF!</v>
      </c>
      <c r="N167" s="203" t="e">
        <f>SUM(#REF!)</f>
        <v>#REF!</v>
      </c>
      <c r="O167" s="203">
        <f>SUM(O149:O166)</f>
        <v>1177000</v>
      </c>
      <c r="P167" s="203">
        <f t="shared" ref="P167:Q167" si="85">SUM(P149:P166)</f>
        <v>912956.92999999993</v>
      </c>
      <c r="Q167" s="203">
        <f t="shared" si="85"/>
        <v>1153500</v>
      </c>
      <c r="R167" s="203">
        <f t="shared" ref="R167" si="86">SUM(R150:R166)</f>
        <v>0</v>
      </c>
      <c r="S167" s="203" t="e">
        <f>SUM(#REF!)</f>
        <v>#REF!</v>
      </c>
      <c r="T167" s="203" t="e">
        <f>SUM(#REF!)</f>
        <v>#REF!</v>
      </c>
      <c r="U167" s="85">
        <f>IF(ISBLANK(A167),1,--OR(K167&gt;1,L167&gt;1,M167&gt;1))</f>
        <v>1</v>
      </c>
      <c r="V167" s="98">
        <v>0</v>
      </c>
      <c r="W167" s="85"/>
      <c r="X167" s="85"/>
      <c r="Y167" s="85"/>
      <c r="Z167" s="85"/>
      <c r="AA167" s="85"/>
      <c r="AB167" s="85"/>
      <c r="AC167" s="83">
        <f>O167-P167</f>
        <v>264043.07000000007</v>
      </c>
    </row>
    <row r="168" spans="1:30" ht="19.5" customHeight="1">
      <c r="A168" s="93">
        <v>1813300110</v>
      </c>
      <c r="B168" s="109" t="str">
        <f t="shared" si="71"/>
        <v>110</v>
      </c>
      <c r="C168" s="109" t="str">
        <f t="shared" si="80"/>
        <v>813300</v>
      </c>
      <c r="D168" s="93" t="s">
        <v>497</v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200"/>
      <c r="S168" s="97"/>
      <c r="T168" s="91"/>
      <c r="U168" s="85"/>
      <c r="V168" s="98"/>
      <c r="W168" s="85"/>
      <c r="X168" s="85"/>
      <c r="Y168" s="85"/>
      <c r="Z168" s="85"/>
      <c r="AA168" s="85"/>
      <c r="AB168" s="85"/>
      <c r="AC168"/>
    </row>
    <row r="169" spans="1:30" ht="15" customHeight="1">
      <c r="A169" s="93">
        <v>1813300430</v>
      </c>
      <c r="B169" s="109" t="str">
        <f t="shared" si="71"/>
        <v>430</v>
      </c>
      <c r="C169" s="109" t="str">
        <f t="shared" si="80"/>
        <v>813300</v>
      </c>
      <c r="D169" s="93" t="s">
        <v>209</v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>
        <f>VLOOKUP(A:A,'[1]דוח כספי 31.10'!A:J,9,0)</f>
        <v>0</v>
      </c>
      <c r="P169" s="95">
        <f>131000+727000</f>
        <v>858000</v>
      </c>
      <c r="Q169" s="95">
        <v>858000</v>
      </c>
      <c r="R169" s="200"/>
      <c r="S169" s="97"/>
      <c r="T169" s="91"/>
      <c r="U169" s="85"/>
      <c r="V169" s="98"/>
      <c r="W169" s="85"/>
      <c r="X169" s="85"/>
      <c r="Y169" s="85"/>
      <c r="Z169" s="85"/>
      <c r="AA169" s="85"/>
      <c r="AB169" s="85"/>
      <c r="AC169" s="83">
        <f t="shared" ref="AC169:AC176" si="87">O169-P169</f>
        <v>-858000</v>
      </c>
    </row>
    <row r="170" spans="1:30" ht="15" customHeight="1">
      <c r="A170" s="93">
        <v>1813300780</v>
      </c>
      <c r="B170" s="109" t="str">
        <f t="shared" si="71"/>
        <v>780</v>
      </c>
      <c r="C170" s="109" t="str">
        <f t="shared" si="80"/>
        <v>813300</v>
      </c>
      <c r="D170" s="93" t="s">
        <v>499</v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>
        <f>VLOOKUP(A:A,'[1]דוח כספי 31.10'!A:J,9,0)</f>
        <v>12000</v>
      </c>
      <c r="P170" s="95">
        <f>VLOOKUP(A:A,'[1]דוח כספי 31.10'!A:D,4,0)</f>
        <v>0</v>
      </c>
      <c r="Q170" s="95">
        <f t="shared" ref="Q170" si="88">P170/10*12</f>
        <v>0</v>
      </c>
      <c r="R170" s="200"/>
      <c r="S170" s="97"/>
      <c r="T170" s="91"/>
      <c r="U170" s="85"/>
      <c r="V170" s="98"/>
      <c r="W170" s="85"/>
      <c r="X170" s="85"/>
      <c r="Y170" s="85"/>
      <c r="Z170" s="85"/>
      <c r="AA170" s="85"/>
      <c r="AB170" s="85"/>
      <c r="AC170" s="83">
        <f t="shared" si="87"/>
        <v>12000</v>
      </c>
    </row>
    <row r="171" spans="1:30" ht="15" customHeight="1">
      <c r="A171" s="93">
        <v>1813300810</v>
      </c>
      <c r="B171" s="109" t="str">
        <f t="shared" si="71"/>
        <v>810</v>
      </c>
      <c r="C171" s="109" t="str">
        <f t="shared" si="80"/>
        <v>813300</v>
      </c>
      <c r="D171" s="93" t="s">
        <v>500</v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>
        <f>VLOOKUP(A:A,'[1]דוח כספי 31.10'!A:J,9,0)</f>
        <v>401000</v>
      </c>
      <c r="P171" s="95">
        <f>VLOOKUP(A:A,'[1]דוח כספי 31.10'!A:D,4,0)</f>
        <v>588039</v>
      </c>
      <c r="Q171" s="95">
        <v>588000</v>
      </c>
      <c r="R171" s="200"/>
      <c r="S171" s="97"/>
      <c r="T171" s="91"/>
      <c r="U171" s="85"/>
      <c r="V171" s="98"/>
      <c r="W171" s="85"/>
      <c r="X171" s="85"/>
      <c r="Y171" s="85"/>
      <c r="Z171" s="85"/>
      <c r="AA171" s="85"/>
      <c r="AB171" s="85"/>
      <c r="AC171" s="83">
        <f t="shared" si="87"/>
        <v>-187039</v>
      </c>
    </row>
    <row r="172" spans="1:30" ht="15" customHeight="1">
      <c r="A172" s="206"/>
      <c r="B172" s="201"/>
      <c r="C172" s="201"/>
      <c r="D172" s="202" t="s">
        <v>499</v>
      </c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>
        <f>SUM(O169:O171)</f>
        <v>413000</v>
      </c>
      <c r="P172" s="203">
        <f t="shared" ref="P172:R172" si="89">SUM(P169:P171)</f>
        <v>1446039</v>
      </c>
      <c r="Q172" s="203">
        <f t="shared" si="89"/>
        <v>1446000</v>
      </c>
      <c r="R172" s="203">
        <f t="shared" si="89"/>
        <v>0</v>
      </c>
      <c r="S172" s="203"/>
      <c r="T172" s="203"/>
      <c r="U172" s="85"/>
      <c r="V172" s="98"/>
      <c r="W172" s="85"/>
      <c r="X172" s="85"/>
      <c r="Y172" s="85"/>
      <c r="Z172" s="85"/>
      <c r="AA172" s="85"/>
      <c r="AB172" s="85"/>
      <c r="AC172" s="83">
        <f t="shared" si="87"/>
        <v>-1033039</v>
      </c>
    </row>
    <row r="173" spans="1:30" ht="15" customHeight="1">
      <c r="A173" s="93">
        <v>1813400430</v>
      </c>
      <c r="B173" s="109" t="str">
        <f t="shared" si="71"/>
        <v>430</v>
      </c>
      <c r="C173" s="109" t="str">
        <f t="shared" si="80"/>
        <v>813400</v>
      </c>
      <c r="D173" s="93" t="s">
        <v>493</v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>
        <f>VLOOKUP(A:A,'[1]דוח כספי 31.10'!A:J,9,0)</f>
        <v>0</v>
      </c>
      <c r="P173" s="95">
        <f>VLOOKUP(A:A,'[1]דוח כספי 31.10'!A:D,4,0)</f>
        <v>61899</v>
      </c>
      <c r="Q173" s="95">
        <f>62000+93000</f>
        <v>155000</v>
      </c>
      <c r="R173" s="200"/>
      <c r="S173" s="97"/>
      <c r="T173" s="91"/>
      <c r="U173" s="85"/>
      <c r="V173" s="98"/>
      <c r="W173" s="85"/>
      <c r="X173" s="85"/>
      <c r="Y173" s="85"/>
      <c r="Z173" s="85"/>
      <c r="AA173" s="85"/>
      <c r="AB173" s="85"/>
      <c r="AC173" s="83">
        <f t="shared" si="87"/>
        <v>-61899</v>
      </c>
    </row>
    <row r="174" spans="1:30" ht="15" customHeight="1">
      <c r="A174" s="93">
        <v>1813500430</v>
      </c>
      <c r="B174" s="109" t="str">
        <f t="shared" si="71"/>
        <v>430</v>
      </c>
      <c r="C174" s="109" t="str">
        <f t="shared" si="80"/>
        <v>813500</v>
      </c>
      <c r="D174" s="93" t="s">
        <v>494</v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>
        <f>VLOOKUP(A:A,'[1]דוח כספי 31.10'!A:J,9,0)</f>
        <v>0</v>
      </c>
      <c r="P174" s="95">
        <f>VLOOKUP(A:A,'[1]דוח כספי 31.10'!A:D,4,0)</f>
        <v>62945</v>
      </c>
      <c r="Q174" s="95">
        <f>63000+105000</f>
        <v>168000</v>
      </c>
      <c r="R174" s="200"/>
      <c r="S174" s="97"/>
      <c r="T174" s="91"/>
      <c r="U174" s="85"/>
      <c r="V174" s="98"/>
      <c r="W174" s="85"/>
      <c r="X174" s="85"/>
      <c r="Y174" s="85"/>
      <c r="Z174" s="85"/>
      <c r="AA174" s="85"/>
      <c r="AB174" s="85"/>
      <c r="AC174" s="83">
        <f t="shared" si="87"/>
        <v>-62945</v>
      </c>
    </row>
    <row r="175" spans="1:30" ht="15" customHeight="1">
      <c r="A175" s="93">
        <v>1813560043</v>
      </c>
      <c r="B175" s="109" t="str">
        <f t="shared" si="71"/>
        <v>043</v>
      </c>
      <c r="C175" s="109" t="str">
        <f t="shared" si="80"/>
        <v>813560</v>
      </c>
      <c r="D175" s="93" t="s">
        <v>495</v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>
        <f>VLOOKUP(A:A,'[1]דוח כספי 31.10'!A:J,9,0)</f>
        <v>0</v>
      </c>
      <c r="P175" s="95">
        <f>VLOOKUP(A:A,'[1]דוח כספי 31.10'!A:D,4,0)</f>
        <v>42932</v>
      </c>
      <c r="Q175" s="95">
        <f>43000+60000</f>
        <v>103000</v>
      </c>
      <c r="R175" s="200"/>
      <c r="S175" s="97"/>
      <c r="T175" s="91"/>
      <c r="U175" s="85"/>
      <c r="V175" s="98"/>
      <c r="W175" s="85"/>
      <c r="X175" s="85"/>
      <c r="Y175" s="85"/>
      <c r="Z175" s="85"/>
      <c r="AA175" s="85"/>
      <c r="AB175" s="85"/>
      <c r="AC175" s="83">
        <f t="shared" si="87"/>
        <v>-42932</v>
      </c>
    </row>
    <row r="176" spans="1:30" ht="15" customHeight="1">
      <c r="A176" s="206"/>
      <c r="B176" s="201"/>
      <c r="C176" s="201"/>
      <c r="D176" s="202" t="s">
        <v>502</v>
      </c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>
        <f>SUM(O173:O175)</f>
        <v>0</v>
      </c>
      <c r="P176" s="203">
        <f>SUM(P173:P175)</f>
        <v>167776</v>
      </c>
      <c r="Q176" s="203">
        <f t="shared" ref="Q176" si="90">SUM(Q173:Q175)</f>
        <v>426000</v>
      </c>
      <c r="R176" s="203"/>
      <c r="S176" s="203"/>
      <c r="T176" s="203"/>
      <c r="U176" s="85"/>
      <c r="V176" s="98"/>
      <c r="W176" s="85"/>
      <c r="X176" s="85"/>
      <c r="Y176" s="85"/>
      <c r="Z176" s="85"/>
      <c r="AA176" s="85"/>
      <c r="AB176" s="85"/>
      <c r="AC176" s="83">
        <f t="shared" si="87"/>
        <v>-167776</v>
      </c>
    </row>
    <row r="177" spans="1:30" ht="20.25" customHeight="1">
      <c r="A177" s="93">
        <v>1813800110</v>
      </c>
      <c r="B177" s="109" t="str">
        <f t="shared" si="71"/>
        <v>110</v>
      </c>
      <c r="C177" s="109" t="str">
        <f t="shared" ref="C177" si="91">MID(A177,2,6)</f>
        <v>813800</v>
      </c>
      <c r="D177" s="93" t="s">
        <v>503</v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>
        <f>VLOOKUP(A:A,'[1]דוח כספי 31.10'!A:J,9,0)</f>
        <v>0</v>
      </c>
      <c r="P177" s="95">
        <f>VLOOKUP(A:A,'[1]דוח כספי 31.10'!A:D,4,0)</f>
        <v>158994.47</v>
      </c>
      <c r="Q177" s="95">
        <v>212000</v>
      </c>
      <c r="R177" s="200"/>
      <c r="S177" s="97"/>
      <c r="T177" s="91"/>
      <c r="U177" s="85"/>
      <c r="V177" s="98"/>
      <c r="W177" s="85"/>
      <c r="X177" s="85"/>
      <c r="Y177" s="85"/>
      <c r="Z177" s="85"/>
      <c r="AA177" s="85"/>
      <c r="AB177" s="85"/>
      <c r="AC177"/>
    </row>
    <row r="178" spans="1:30" ht="18" customHeight="1">
      <c r="A178" s="206"/>
      <c r="B178" s="201"/>
      <c r="C178" s="201"/>
      <c r="D178" s="202" t="s">
        <v>504</v>
      </c>
      <c r="E178" s="203"/>
      <c r="F178" s="203"/>
      <c r="G178" s="203"/>
      <c r="H178" s="203"/>
      <c r="I178" s="210"/>
      <c r="J178" s="210"/>
      <c r="K178" s="210"/>
      <c r="L178" s="210"/>
      <c r="M178" s="210"/>
      <c r="N178" s="210"/>
      <c r="O178" s="210">
        <f>SUM(O177)</f>
        <v>0</v>
      </c>
      <c r="P178" s="210">
        <f t="shared" ref="P178:R178" si="92">SUM(P177)</f>
        <v>158994.47</v>
      </c>
      <c r="Q178" s="210">
        <f t="shared" si="92"/>
        <v>212000</v>
      </c>
      <c r="R178" s="210">
        <f t="shared" si="92"/>
        <v>0</v>
      </c>
      <c r="S178" s="205"/>
      <c r="T178" s="91"/>
      <c r="U178" s="85"/>
      <c r="V178" s="98"/>
      <c r="W178" s="85"/>
      <c r="X178" s="85"/>
      <c r="Y178" s="85"/>
      <c r="Z178" s="85"/>
      <c r="AA178" s="85"/>
      <c r="AB178" s="85"/>
      <c r="AC178" s="83">
        <f>O178-P178</f>
        <v>-158994.47</v>
      </c>
      <c r="AD178">
        <v>0</v>
      </c>
    </row>
    <row r="179" spans="1:30" ht="18" customHeight="1">
      <c r="A179" s="93">
        <v>1815100110</v>
      </c>
      <c r="B179" s="109" t="str">
        <f t="shared" si="71"/>
        <v>110</v>
      </c>
      <c r="C179" s="109" t="str">
        <f t="shared" ref="C179:C215" si="93">MID(A179,2,6)</f>
        <v>815100</v>
      </c>
      <c r="D179" s="93" t="s">
        <v>505</v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>
        <f>VLOOKUP(A:A,'[1]דוח כספי 31.10'!A:J,9,0)</f>
        <v>750000</v>
      </c>
      <c r="P179" s="95">
        <f>VLOOKUP(A:A,'[1]דוח כספי 31.10'!A:D,4,0)</f>
        <v>639626.09</v>
      </c>
      <c r="Q179" s="95">
        <v>865000</v>
      </c>
      <c r="R179" s="200"/>
      <c r="S179" s="97"/>
      <c r="T179" s="91"/>
      <c r="U179" s="85"/>
      <c r="V179" s="98"/>
      <c r="W179" s="85"/>
      <c r="X179" s="85"/>
      <c r="Y179" s="85"/>
      <c r="Z179" s="85"/>
      <c r="AA179" s="85"/>
      <c r="AB179" s="85"/>
      <c r="AC179"/>
      <c r="AD179">
        <v>0</v>
      </c>
    </row>
    <row r="180" spans="1:30" ht="15.75" customHeight="1">
      <c r="A180" s="93">
        <v>1815200320</v>
      </c>
      <c r="B180" s="109" t="str">
        <f t="shared" si="71"/>
        <v>320</v>
      </c>
      <c r="C180" s="109" t="str">
        <f t="shared" si="93"/>
        <v>815200</v>
      </c>
      <c r="D180" s="93" t="s">
        <v>506</v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>
        <f>VLOOKUP(A:A,'[1]דוח כספי 31.10'!A:J,9,0)</f>
        <v>0</v>
      </c>
      <c r="P180" s="95">
        <f>VLOOKUP(A:A,'[1]דוח כספי 31.10'!A:D,4,0)</f>
        <v>0</v>
      </c>
      <c r="Q180" s="95">
        <f t="shared" ref="Q180:Q212" si="94">P180/9*12</f>
        <v>0</v>
      </c>
      <c r="R180" s="200"/>
      <c r="S180" s="97"/>
      <c r="T180" s="91"/>
      <c r="U180" s="85"/>
      <c r="V180" s="98"/>
      <c r="W180" s="85"/>
      <c r="X180" s="85"/>
      <c r="Y180" s="85"/>
      <c r="Z180" s="85"/>
      <c r="AA180" s="85"/>
      <c r="AB180" s="85"/>
      <c r="AC180"/>
    </row>
    <row r="181" spans="1:30" ht="15" customHeight="1">
      <c r="A181" s="93">
        <v>1815200420</v>
      </c>
      <c r="B181" s="109" t="str">
        <f t="shared" si="71"/>
        <v>420</v>
      </c>
      <c r="C181" s="109" t="str">
        <f t="shared" si="93"/>
        <v>815200</v>
      </c>
      <c r="D181" s="93" t="s">
        <v>507</v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>
        <f>VLOOKUP(A:A,'[1]דוח כספי 31.10'!A:J,9,0)</f>
        <v>47000</v>
      </c>
      <c r="P181" s="95">
        <f>VLOOKUP(A:A,'[1]דוח כספי 31.10'!A:D,4,0)</f>
        <v>25043</v>
      </c>
      <c r="Q181" s="95">
        <v>30000</v>
      </c>
      <c r="R181" s="200"/>
      <c r="S181" s="97"/>
      <c r="T181" s="91"/>
      <c r="U181" s="85"/>
      <c r="V181" s="98"/>
      <c r="W181" s="85"/>
      <c r="X181" s="85"/>
      <c r="Y181" s="85"/>
      <c r="Z181" s="85"/>
      <c r="AA181" s="85"/>
      <c r="AB181" s="85"/>
      <c r="AC181" s="83">
        <f t="shared" ref="AC181:AC210" si="95">O181-P181</f>
        <v>21957</v>
      </c>
    </row>
    <row r="182" spans="1:30" ht="15" customHeight="1">
      <c r="A182" s="93">
        <v>1815200425</v>
      </c>
      <c r="B182" s="109" t="str">
        <f t="shared" si="71"/>
        <v>425</v>
      </c>
      <c r="C182" s="109" t="str">
        <f t="shared" si="93"/>
        <v>815200</v>
      </c>
      <c r="D182" s="93" t="s">
        <v>508</v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>
        <f>VLOOKUP(A:A,'[1]דוח כספי 31.10'!A:J,9,0)</f>
        <v>0</v>
      </c>
      <c r="P182" s="95">
        <f>VLOOKUP(A:A,'[1]דוח כספי 31.10'!A:D,4,0)</f>
        <v>0</v>
      </c>
      <c r="Q182" s="95">
        <f t="shared" ref="Q182:Q208" si="96">P182/10*12</f>
        <v>0</v>
      </c>
      <c r="R182" s="200"/>
      <c r="S182" s="97"/>
      <c r="T182" s="91"/>
      <c r="U182" s="85"/>
      <c r="V182" s="98"/>
      <c r="W182" s="85"/>
      <c r="X182" s="85"/>
      <c r="Y182" s="85"/>
      <c r="Z182" s="85"/>
      <c r="AA182" s="85"/>
      <c r="AB182" s="85"/>
      <c r="AC182" s="83">
        <f t="shared" si="95"/>
        <v>0</v>
      </c>
    </row>
    <row r="183" spans="1:30" ht="15" customHeight="1">
      <c r="A183" s="93">
        <v>1815200431</v>
      </c>
      <c r="B183" s="109" t="str">
        <f t="shared" si="71"/>
        <v>431</v>
      </c>
      <c r="C183" s="109" t="str">
        <f t="shared" si="93"/>
        <v>815200</v>
      </c>
      <c r="D183" s="93" t="s">
        <v>481</v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>
        <f>VLOOKUP(A:A,'[1]דוח כספי 31.10'!A:J,9,0)</f>
        <v>129000</v>
      </c>
      <c r="P183" s="95">
        <f>VLOOKUP(A:A,'[1]דוח כספי 31.10'!A:D,4,0)</f>
        <v>124393.86</v>
      </c>
      <c r="Q183" s="95">
        <v>210000</v>
      </c>
      <c r="R183" s="200"/>
      <c r="S183" s="97"/>
      <c r="T183" s="91"/>
      <c r="U183" s="85"/>
      <c r="V183" s="98"/>
      <c r="W183" s="85"/>
      <c r="X183" s="85"/>
      <c r="Y183" s="85"/>
      <c r="Z183" s="85"/>
      <c r="AA183" s="85"/>
      <c r="AB183" s="85"/>
      <c r="AC183" s="83">
        <f t="shared" si="95"/>
        <v>4606.1399999999994</v>
      </c>
    </row>
    <row r="184" spans="1:30" ht="15" customHeight="1">
      <c r="A184" s="207">
        <v>1815200432</v>
      </c>
      <c r="B184" s="208" t="str">
        <f t="shared" si="71"/>
        <v>432</v>
      </c>
      <c r="C184" s="208" t="str">
        <f t="shared" si="93"/>
        <v>815200</v>
      </c>
      <c r="D184" s="207" t="s">
        <v>325</v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209">
        <f>VLOOKUP(A:A,'[1]דוח כספי 31.10'!A:J,9,0)</f>
        <v>55000</v>
      </c>
      <c r="P184" s="95">
        <f>VLOOKUP(A:A,'[1]דוח כספי 31.10'!A:D,4,0)</f>
        <v>0</v>
      </c>
      <c r="Q184" s="209">
        <v>34500</v>
      </c>
      <c r="R184" s="200"/>
      <c r="S184" s="97"/>
      <c r="T184" s="91"/>
      <c r="U184" s="85"/>
      <c r="V184" s="98"/>
      <c r="W184" s="85"/>
      <c r="X184" s="85"/>
      <c r="Y184" s="85"/>
      <c r="Z184" s="85"/>
      <c r="AA184" s="85"/>
      <c r="AB184" s="85"/>
      <c r="AC184" s="83">
        <f t="shared" si="95"/>
        <v>55000</v>
      </c>
    </row>
    <row r="185" spans="1:30" ht="15" customHeight="1">
      <c r="A185" s="93">
        <v>1815200433</v>
      </c>
      <c r="B185" s="109" t="str">
        <f t="shared" si="71"/>
        <v>433</v>
      </c>
      <c r="C185" s="109" t="str">
        <f t="shared" si="93"/>
        <v>815200</v>
      </c>
      <c r="D185" s="93" t="s">
        <v>509</v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>
        <f>VLOOKUP(A:A,'[1]דוח כספי 31.10'!A:J,9,0)</f>
        <v>28000</v>
      </c>
      <c r="P185" s="95">
        <f>VLOOKUP(A:A,'[1]דוח כספי 31.10'!A:D,4,0)</f>
        <v>21534</v>
      </c>
      <c r="Q185" s="95">
        <v>26000</v>
      </c>
      <c r="R185" s="200"/>
      <c r="S185" s="97"/>
      <c r="T185" s="91"/>
      <c r="U185" s="85"/>
      <c r="V185" s="98"/>
      <c r="W185" s="85"/>
      <c r="X185" s="85"/>
      <c r="Y185" s="85"/>
      <c r="Z185" s="85"/>
      <c r="AA185" s="85"/>
      <c r="AB185" s="85"/>
      <c r="AC185" s="83">
        <f t="shared" si="95"/>
        <v>6466</v>
      </c>
      <c r="AD185">
        <v>0</v>
      </c>
    </row>
    <row r="186" spans="1:30" ht="15" customHeight="1">
      <c r="A186" s="93">
        <v>1815200440</v>
      </c>
      <c r="B186" s="109" t="str">
        <f t="shared" si="71"/>
        <v>440</v>
      </c>
      <c r="C186" s="109" t="str">
        <f t="shared" si="93"/>
        <v>815200</v>
      </c>
      <c r="D186" s="93" t="s">
        <v>354</v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>
        <f>VLOOKUP(A:A,'[1]דוח כספי 31.10'!A:J,9,0)</f>
        <v>0</v>
      </c>
      <c r="P186" s="95">
        <f>VLOOKUP(A:A,'[1]דוח כספי 31.10'!A:D,4,0)</f>
        <v>0</v>
      </c>
      <c r="Q186" s="95">
        <f t="shared" si="96"/>
        <v>0</v>
      </c>
      <c r="R186" s="200"/>
      <c r="S186" s="97"/>
      <c r="T186" s="91"/>
      <c r="U186" s="85"/>
      <c r="V186" s="98"/>
      <c r="W186" s="85"/>
      <c r="X186" s="85"/>
      <c r="Y186" s="85"/>
      <c r="Z186" s="85"/>
      <c r="AA186" s="85"/>
      <c r="AB186" s="85"/>
      <c r="AC186" s="83">
        <f t="shared" si="95"/>
        <v>0</v>
      </c>
    </row>
    <row r="187" spans="1:30" ht="15" customHeight="1">
      <c r="A187" s="93">
        <v>1815200450</v>
      </c>
      <c r="B187" s="109" t="str">
        <f t="shared" si="71"/>
        <v>450</v>
      </c>
      <c r="C187" s="109" t="str">
        <f t="shared" si="93"/>
        <v>815200</v>
      </c>
      <c r="D187" s="93" t="s">
        <v>483</v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>
        <f>VLOOKUP(A:A,'[1]דוח כספי 31.10'!A:J,9,0)</f>
        <v>12000</v>
      </c>
      <c r="P187" s="95">
        <f>VLOOKUP(A:A,'[1]דוח כספי 31.10'!A:D,4,0)</f>
        <v>2138.36</v>
      </c>
      <c r="Q187" s="95">
        <v>5000</v>
      </c>
      <c r="R187" s="200"/>
      <c r="S187" s="97"/>
      <c r="T187" s="91"/>
      <c r="U187" s="85"/>
      <c r="V187" s="98"/>
      <c r="W187" s="85"/>
      <c r="X187" s="85"/>
      <c r="Y187" s="85"/>
      <c r="Z187" s="85"/>
      <c r="AA187" s="85"/>
      <c r="AB187" s="85"/>
      <c r="AC187" s="83">
        <f t="shared" si="95"/>
        <v>9861.64</v>
      </c>
    </row>
    <row r="188" spans="1:30" ht="15" customHeight="1">
      <c r="A188" s="93">
        <v>1815200470</v>
      </c>
      <c r="B188" s="109" t="str">
        <f t="shared" si="71"/>
        <v>470</v>
      </c>
      <c r="C188" s="109" t="str">
        <f t="shared" si="93"/>
        <v>815200</v>
      </c>
      <c r="D188" s="93" t="s">
        <v>510</v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>
        <f>VLOOKUP(A:A,'[1]דוח כספי 31.10'!A:J,9,0)</f>
        <v>37000</v>
      </c>
      <c r="P188" s="95">
        <f>VLOOKUP(A:A,'[1]דוח כספי 31.10'!A:D,4,0)</f>
        <v>71539</v>
      </c>
      <c r="Q188" s="95">
        <v>86000</v>
      </c>
      <c r="R188" s="200"/>
      <c r="S188" s="97"/>
      <c r="T188" s="91"/>
      <c r="U188" s="85"/>
      <c r="V188" s="98"/>
      <c r="W188" s="85"/>
      <c r="X188" s="85"/>
      <c r="Y188" s="85"/>
      <c r="Z188" s="85"/>
      <c r="AA188" s="85"/>
      <c r="AB188" s="85"/>
      <c r="AC188" s="83">
        <f t="shared" si="95"/>
        <v>-34539</v>
      </c>
    </row>
    <row r="189" spans="1:30" ht="15" customHeight="1">
      <c r="A189" s="93">
        <v>1815200510</v>
      </c>
      <c r="B189" s="109" t="str">
        <f t="shared" si="71"/>
        <v>510</v>
      </c>
      <c r="C189" s="109" t="str">
        <f t="shared" si="93"/>
        <v>815200</v>
      </c>
      <c r="D189" s="93" t="s">
        <v>511</v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>
        <f>VLOOKUP(A:A,'[1]דוח כספי 31.10'!A:J,9,0)</f>
        <v>10000</v>
      </c>
      <c r="P189" s="95">
        <f>VLOOKUP(A:A,'[1]דוח כספי 31.10'!A:D,4,0)</f>
        <v>0</v>
      </c>
      <c r="Q189" s="95">
        <f t="shared" si="96"/>
        <v>0</v>
      </c>
      <c r="R189" s="200"/>
      <c r="S189" s="97"/>
      <c r="T189" s="91"/>
      <c r="U189" s="85"/>
      <c r="V189" s="98"/>
      <c r="W189" s="85"/>
      <c r="X189" s="85"/>
      <c r="Y189" s="85"/>
      <c r="Z189" s="85"/>
      <c r="AA189" s="85"/>
      <c r="AB189" s="85"/>
      <c r="AC189" s="83">
        <f t="shared" si="95"/>
        <v>10000</v>
      </c>
    </row>
    <row r="190" spans="1:30" ht="15" customHeight="1">
      <c r="A190" s="93">
        <v>1815200522</v>
      </c>
      <c r="B190" s="109" t="str">
        <f t="shared" si="71"/>
        <v>522</v>
      </c>
      <c r="C190" s="109" t="str">
        <f t="shared" si="93"/>
        <v>815200</v>
      </c>
      <c r="D190" s="93" t="s">
        <v>384</v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>
        <f>VLOOKUP(A:A,'[1]דוח כספי 31.10'!A:J,9,0)</f>
        <v>0</v>
      </c>
      <c r="P190" s="95">
        <f>VLOOKUP(A:A,'[1]דוח כספי 31.10'!A:D,4,0)</f>
        <v>0</v>
      </c>
      <c r="Q190" s="95">
        <f t="shared" si="96"/>
        <v>0</v>
      </c>
      <c r="R190" s="200"/>
      <c r="S190" s="97"/>
      <c r="T190" s="91"/>
      <c r="U190" s="85"/>
      <c r="V190" s="98"/>
      <c r="W190" s="85"/>
      <c r="X190" s="85"/>
      <c r="Y190" s="85"/>
      <c r="Z190" s="85"/>
      <c r="AA190" s="85"/>
      <c r="AB190" s="85"/>
      <c r="AC190" s="83">
        <f t="shared" si="95"/>
        <v>0</v>
      </c>
    </row>
    <row r="191" spans="1:30" ht="15" customHeight="1">
      <c r="A191" s="93">
        <v>1815200540</v>
      </c>
      <c r="B191" s="109" t="str">
        <f t="shared" si="71"/>
        <v>540</v>
      </c>
      <c r="C191" s="109" t="str">
        <f t="shared" si="93"/>
        <v>815200</v>
      </c>
      <c r="D191" s="93" t="s">
        <v>485</v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>
        <f>VLOOKUP(A:A,'[1]דוח כספי 31.10'!A:J,9,0)</f>
        <v>21000</v>
      </c>
      <c r="P191" s="95">
        <f>VLOOKUP(A:A,'[1]דוח כספי 31.10'!A:D,4,0)</f>
        <v>0</v>
      </c>
      <c r="Q191" s="95">
        <f t="shared" si="96"/>
        <v>0</v>
      </c>
      <c r="R191" s="200"/>
      <c r="S191" s="97"/>
      <c r="T191" s="91"/>
      <c r="U191" s="85"/>
      <c r="V191" s="98"/>
      <c r="W191" s="85"/>
      <c r="X191" s="85"/>
      <c r="Y191" s="85"/>
      <c r="Z191" s="85"/>
      <c r="AA191" s="85"/>
      <c r="AB191" s="85"/>
      <c r="AC191" s="83">
        <f t="shared" si="95"/>
        <v>21000</v>
      </c>
    </row>
    <row r="192" spans="1:30" ht="15" customHeight="1">
      <c r="A192" s="93">
        <v>1815200560</v>
      </c>
      <c r="B192" s="109" t="str">
        <f t="shared" si="71"/>
        <v>560</v>
      </c>
      <c r="C192" s="109" t="str">
        <f t="shared" si="93"/>
        <v>815200</v>
      </c>
      <c r="D192" s="93" t="s">
        <v>486</v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>
        <f>VLOOKUP(A:A,'[1]דוח כספי 31.10'!A:J,9,0)</f>
        <v>80000</v>
      </c>
      <c r="P192" s="95">
        <f>VLOOKUP(A:A,'[1]דוח כספי 31.10'!A:D,4,0)</f>
        <v>36083</v>
      </c>
      <c r="Q192" s="95">
        <v>45000</v>
      </c>
      <c r="R192" s="200"/>
      <c r="S192" s="97"/>
      <c r="T192" s="91"/>
      <c r="U192" s="85"/>
      <c r="V192" s="98"/>
      <c r="W192" s="85"/>
      <c r="X192" s="85"/>
      <c r="Y192" s="85"/>
      <c r="Z192" s="85"/>
      <c r="AA192" s="85"/>
      <c r="AB192" s="85"/>
      <c r="AC192" s="83">
        <f t="shared" si="95"/>
        <v>43917</v>
      </c>
    </row>
    <row r="193" spans="1:29" ht="15" customHeight="1">
      <c r="A193" s="93">
        <v>1815200570</v>
      </c>
      <c r="B193" s="109" t="str">
        <f t="shared" ref="B193:B241" si="97">MID(A193,8,3)</f>
        <v>570</v>
      </c>
      <c r="C193" s="109" t="str">
        <f t="shared" si="93"/>
        <v>815200</v>
      </c>
      <c r="D193" s="93" t="s">
        <v>512</v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>
        <f>VLOOKUP(A:A,'[1]דוח כספי 31.10'!A:J,9,0)</f>
        <v>31000</v>
      </c>
      <c r="P193" s="95">
        <f>VLOOKUP(A:A,'[1]דוח כספי 31.10'!A:D,4,0)</f>
        <v>15210</v>
      </c>
      <c r="Q193" s="95">
        <v>20000</v>
      </c>
      <c r="R193" s="200"/>
      <c r="S193" s="97"/>
      <c r="T193" s="91"/>
      <c r="U193" s="85"/>
      <c r="V193" s="98"/>
      <c r="W193" s="85"/>
      <c r="X193" s="85"/>
      <c r="Y193" s="85"/>
      <c r="Z193" s="85"/>
      <c r="AA193" s="85"/>
      <c r="AB193" s="85"/>
      <c r="AC193" s="83">
        <f t="shared" si="95"/>
        <v>15790</v>
      </c>
    </row>
    <row r="194" spans="1:29" ht="15" customHeight="1">
      <c r="A194" s="93">
        <v>1815200580</v>
      </c>
      <c r="B194" s="109" t="str">
        <f t="shared" si="97"/>
        <v>580</v>
      </c>
      <c r="C194" s="109" t="str">
        <f t="shared" si="93"/>
        <v>815200</v>
      </c>
      <c r="D194" s="93" t="s">
        <v>513</v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>
        <f>VLOOKUP(A:A,'[1]דוח כספי 31.10'!A:J,9,0)</f>
        <v>67000</v>
      </c>
      <c r="P194" s="95">
        <f>VLOOKUP(A:A,'[1]דוח כספי 31.10'!A:D,4,0)</f>
        <v>77850</v>
      </c>
      <c r="Q194" s="95">
        <v>94000</v>
      </c>
      <c r="R194" s="200"/>
      <c r="S194" s="97"/>
      <c r="T194" s="91"/>
      <c r="U194" s="85"/>
      <c r="V194" s="98"/>
      <c r="W194" s="85"/>
      <c r="X194" s="85"/>
      <c r="Y194" s="85"/>
      <c r="Z194" s="85"/>
      <c r="AA194" s="85"/>
      <c r="AB194" s="85"/>
      <c r="AC194" s="83">
        <f t="shared" si="95"/>
        <v>-10850</v>
      </c>
    </row>
    <row r="195" spans="1:29" ht="15" customHeight="1">
      <c r="A195" s="93">
        <v>1815200650</v>
      </c>
      <c r="B195" s="109" t="str">
        <f t="shared" si="97"/>
        <v>650</v>
      </c>
      <c r="C195" s="109" t="str">
        <f t="shared" si="93"/>
        <v>815200</v>
      </c>
      <c r="D195" s="93" t="s">
        <v>514</v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>
        <f>VLOOKUP(A:A,'[1]דוח כספי 31.10'!A:J,9,0)</f>
        <v>0</v>
      </c>
      <c r="P195" s="95">
        <f>VLOOKUP(A:A,'[1]דוח כספי 31.10'!A:D,4,0)</f>
        <v>0</v>
      </c>
      <c r="Q195" s="95">
        <f t="shared" si="96"/>
        <v>0</v>
      </c>
      <c r="R195" s="200"/>
      <c r="S195" s="97"/>
      <c r="T195" s="91"/>
      <c r="U195" s="85"/>
      <c r="V195" s="98"/>
      <c r="W195" s="85"/>
      <c r="X195" s="85"/>
      <c r="Y195" s="85"/>
      <c r="Z195" s="85"/>
      <c r="AA195" s="85"/>
      <c r="AB195" s="85"/>
      <c r="AC195" s="83">
        <f t="shared" si="95"/>
        <v>0</v>
      </c>
    </row>
    <row r="196" spans="1:29" ht="15" customHeight="1">
      <c r="A196" s="93">
        <v>1815200720</v>
      </c>
      <c r="B196" s="109" t="str">
        <f t="shared" si="97"/>
        <v>720</v>
      </c>
      <c r="C196" s="109" t="str">
        <f t="shared" si="93"/>
        <v>815200</v>
      </c>
      <c r="D196" s="93" t="s">
        <v>515</v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>
        <f>VLOOKUP(A:A,'[1]דוח כספי 31.10'!A:J,9,0)</f>
        <v>0</v>
      </c>
      <c r="P196" s="95">
        <f>VLOOKUP(A:A,'[1]דוח כספי 31.10'!A:D,4,0)</f>
        <v>48933</v>
      </c>
      <c r="Q196" s="95">
        <v>60000</v>
      </c>
      <c r="R196" s="200"/>
      <c r="S196" s="97"/>
      <c r="T196" s="91"/>
      <c r="U196" s="85"/>
      <c r="V196" s="98"/>
      <c r="W196" s="85"/>
      <c r="X196" s="85"/>
      <c r="Y196" s="85"/>
      <c r="Z196" s="85"/>
      <c r="AA196" s="85"/>
      <c r="AB196" s="85"/>
      <c r="AC196" s="83">
        <f t="shared" si="95"/>
        <v>-48933</v>
      </c>
    </row>
    <row r="197" spans="1:29" ht="15" customHeight="1">
      <c r="A197" s="93">
        <v>1815200730</v>
      </c>
      <c r="B197" s="109" t="str">
        <f t="shared" si="97"/>
        <v>730</v>
      </c>
      <c r="C197" s="109" t="str">
        <f t="shared" si="93"/>
        <v>815200</v>
      </c>
      <c r="D197" s="93" t="s">
        <v>516</v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>
        <f>VLOOKUP(A:A,'[1]דוח כספי 31.10'!A:J,9,0)</f>
        <v>0</v>
      </c>
      <c r="P197" s="95">
        <f>VLOOKUP(A:A,'[1]דוח כספי 31.10'!A:D,4,0)</f>
        <v>41919.9</v>
      </c>
      <c r="Q197" s="95">
        <v>50000</v>
      </c>
      <c r="R197" s="200"/>
      <c r="S197" s="97"/>
      <c r="T197" s="91"/>
      <c r="U197" s="85"/>
      <c r="V197" s="98"/>
      <c r="W197" s="85"/>
      <c r="X197" s="85"/>
      <c r="Y197" s="85"/>
      <c r="Z197" s="85"/>
      <c r="AA197" s="85"/>
      <c r="AB197" s="85"/>
      <c r="AC197" s="83">
        <f t="shared" si="95"/>
        <v>-41919.9</v>
      </c>
    </row>
    <row r="198" spans="1:29" ht="15" customHeight="1">
      <c r="A198" s="93">
        <v>1815200750</v>
      </c>
      <c r="B198" s="109" t="str">
        <f t="shared" si="97"/>
        <v>750</v>
      </c>
      <c r="C198" s="109" t="str">
        <f t="shared" si="93"/>
        <v>815200</v>
      </c>
      <c r="D198" s="93" t="s">
        <v>517</v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>
        <f>VLOOKUP(A:A,'[1]דוח כספי 31.10'!A:J,9,0)</f>
        <v>88000</v>
      </c>
      <c r="P198" s="95">
        <f>VLOOKUP(A:A,'[1]דוח כספי 31.10'!A:D,4,0)</f>
        <v>0</v>
      </c>
      <c r="Q198" s="95">
        <f t="shared" si="96"/>
        <v>0</v>
      </c>
      <c r="R198" s="200"/>
      <c r="S198" s="97"/>
      <c r="T198" s="91"/>
      <c r="U198" s="85"/>
      <c r="V198" s="98"/>
      <c r="W198" s="85"/>
      <c r="X198" s="85"/>
      <c r="Y198" s="85"/>
      <c r="Z198" s="85"/>
      <c r="AA198" s="85"/>
      <c r="AB198" s="85"/>
      <c r="AC198" s="83">
        <f t="shared" si="95"/>
        <v>88000</v>
      </c>
    </row>
    <row r="199" spans="1:29" ht="15" customHeight="1">
      <c r="A199" s="93">
        <v>1815200780</v>
      </c>
      <c r="B199" s="109" t="str">
        <f t="shared" si="97"/>
        <v>780</v>
      </c>
      <c r="C199" s="109" t="str">
        <f t="shared" si="93"/>
        <v>815200</v>
      </c>
      <c r="D199" s="93" t="s">
        <v>518</v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>
        <f>VLOOKUP(A:A,'[1]דוח כספי 31.10'!A:J,9,0)</f>
        <v>12000</v>
      </c>
      <c r="P199" s="95">
        <f>VLOOKUP(A:A,'[1]דוח כספי 31.10'!A:D,4,0)</f>
        <v>13982</v>
      </c>
      <c r="Q199" s="95">
        <v>17000</v>
      </c>
      <c r="R199" s="200"/>
      <c r="S199" s="97"/>
      <c r="T199" s="91"/>
      <c r="U199" s="85"/>
      <c r="V199" s="98"/>
      <c r="W199" s="85"/>
      <c r="X199" s="85"/>
      <c r="Y199" s="85"/>
      <c r="Z199" s="85"/>
      <c r="AA199" s="85"/>
      <c r="AB199" s="85"/>
      <c r="AC199" s="83">
        <f t="shared" si="95"/>
        <v>-1982</v>
      </c>
    </row>
    <row r="200" spans="1:29" ht="15" customHeight="1">
      <c r="A200" s="93">
        <v>1815200790</v>
      </c>
      <c r="B200" s="109" t="str">
        <f t="shared" si="97"/>
        <v>790</v>
      </c>
      <c r="C200" s="109" t="str">
        <f t="shared" si="93"/>
        <v>815200</v>
      </c>
      <c r="D200" s="93" t="s">
        <v>519</v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>
        <f>VLOOKUP(A:A,'[1]דוח כספי 31.10'!A:J,9,0)</f>
        <v>0</v>
      </c>
      <c r="P200" s="95">
        <f>VLOOKUP(A:A,'[1]דוח כספי 31.10'!A:D,4,0)</f>
        <v>0</v>
      </c>
      <c r="Q200" s="95">
        <f t="shared" si="96"/>
        <v>0</v>
      </c>
      <c r="R200" s="200"/>
      <c r="S200" s="97"/>
      <c r="T200" s="91"/>
      <c r="U200" s="85"/>
      <c r="V200" s="98"/>
      <c r="W200" s="85"/>
      <c r="X200" s="85"/>
      <c r="Y200" s="85"/>
      <c r="Z200" s="85"/>
      <c r="AA200" s="85"/>
      <c r="AB200" s="85"/>
      <c r="AC200" s="83">
        <f t="shared" si="95"/>
        <v>0</v>
      </c>
    </row>
    <row r="201" spans="1:29" ht="15" customHeight="1">
      <c r="A201" s="93">
        <v>1815200800</v>
      </c>
      <c r="B201" s="109" t="str">
        <f t="shared" si="97"/>
        <v>800</v>
      </c>
      <c r="C201" s="109" t="str">
        <f t="shared" si="93"/>
        <v>815200</v>
      </c>
      <c r="D201" s="93" t="s">
        <v>520</v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>
        <f>VLOOKUP(A:A,'[1]דוח כספי 31.10'!A:J,9,0)</f>
        <v>0</v>
      </c>
      <c r="P201" s="95">
        <f>VLOOKUP(A:A,'[1]דוח כספי 31.10'!A:D,4,0)</f>
        <v>19040</v>
      </c>
      <c r="Q201" s="95">
        <v>23000</v>
      </c>
      <c r="R201" s="200"/>
      <c r="S201" s="97"/>
      <c r="T201" s="91"/>
      <c r="U201" s="85"/>
      <c r="V201" s="98"/>
      <c r="W201" s="85"/>
      <c r="X201" s="85"/>
      <c r="Y201" s="85"/>
      <c r="Z201" s="85"/>
      <c r="AA201" s="85"/>
      <c r="AB201" s="85"/>
      <c r="AC201" s="83">
        <f t="shared" si="95"/>
        <v>-19040</v>
      </c>
    </row>
    <row r="202" spans="1:29" ht="15" customHeight="1">
      <c r="A202" s="93">
        <v>1815200810</v>
      </c>
      <c r="B202" s="109" t="str">
        <f t="shared" si="97"/>
        <v>810</v>
      </c>
      <c r="C202" s="109" t="str">
        <f t="shared" si="93"/>
        <v>815200</v>
      </c>
      <c r="D202" s="93" t="s">
        <v>521</v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>
        <f>VLOOKUP(A:A,'[1]דוח כספי 31.10'!A:J,9,0)</f>
        <v>5000</v>
      </c>
      <c r="P202" s="95">
        <f>VLOOKUP(A:A,'[1]דוח כספי 31.10'!A:D,4,0)</f>
        <v>5500</v>
      </c>
      <c r="Q202" s="95">
        <v>7000</v>
      </c>
      <c r="R202" s="200"/>
      <c r="S202" s="97"/>
      <c r="T202" s="91"/>
      <c r="U202" s="85"/>
      <c r="V202" s="98"/>
      <c r="W202" s="85"/>
      <c r="X202" s="85"/>
      <c r="Y202" s="85"/>
      <c r="Z202" s="85"/>
      <c r="AA202" s="85"/>
      <c r="AB202" s="85"/>
      <c r="AC202" s="83">
        <f t="shared" si="95"/>
        <v>-500</v>
      </c>
    </row>
    <row r="203" spans="1:29" ht="15" customHeight="1">
      <c r="A203" s="93">
        <v>1815200850</v>
      </c>
      <c r="B203" s="109" t="str">
        <f t="shared" si="97"/>
        <v>850</v>
      </c>
      <c r="C203" s="109" t="str">
        <f t="shared" si="93"/>
        <v>815200</v>
      </c>
      <c r="D203" s="93" t="s">
        <v>522</v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>
        <f>VLOOKUP(A:A,'[1]דוח כספי 31.10'!A:J,9,0)</f>
        <v>0</v>
      </c>
      <c r="P203" s="95">
        <f>VLOOKUP(A:A,'[1]דוח כספי 31.10'!A:D,4,0)</f>
        <v>0</v>
      </c>
      <c r="Q203" s="95">
        <f t="shared" si="96"/>
        <v>0</v>
      </c>
      <c r="R203" s="200"/>
      <c r="S203" s="97"/>
      <c r="T203" s="91"/>
      <c r="U203" s="85"/>
      <c r="V203" s="98"/>
      <c r="W203" s="85"/>
      <c r="X203" s="85"/>
      <c r="Y203" s="85"/>
      <c r="Z203" s="85"/>
      <c r="AA203" s="85"/>
      <c r="AB203" s="85"/>
      <c r="AC203" s="83">
        <f t="shared" si="95"/>
        <v>0</v>
      </c>
    </row>
    <row r="204" spans="1:29" ht="15" customHeight="1">
      <c r="A204" s="93">
        <v>1815200930</v>
      </c>
      <c r="B204" s="109" t="str">
        <f t="shared" si="97"/>
        <v>930</v>
      </c>
      <c r="C204" s="109" t="str">
        <f t="shared" si="93"/>
        <v>815200</v>
      </c>
      <c r="D204" s="93" t="s">
        <v>390</v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>
        <f>VLOOKUP(A:A,'[1]דוח כספי 31.10'!A:J,9,0)</f>
        <v>4000</v>
      </c>
      <c r="P204" s="95">
        <f>VLOOKUP(A:A,'[1]דוח כספי 31.10'!A:D,4,0)</f>
        <v>0</v>
      </c>
      <c r="Q204" s="95">
        <f t="shared" si="96"/>
        <v>0</v>
      </c>
      <c r="R204" s="200"/>
      <c r="S204" s="97"/>
      <c r="T204" s="91"/>
      <c r="U204" s="85"/>
      <c r="V204" s="98"/>
      <c r="W204" s="85"/>
      <c r="X204" s="85"/>
      <c r="Y204" s="85"/>
      <c r="Z204" s="85"/>
      <c r="AA204" s="85"/>
      <c r="AB204" s="85"/>
      <c r="AC204" s="83">
        <f t="shared" si="95"/>
        <v>4000</v>
      </c>
    </row>
    <row r="205" spans="1:29" ht="15" customHeight="1">
      <c r="A205" s="93">
        <v>1815210580</v>
      </c>
      <c r="B205" s="109" t="str">
        <f t="shared" si="97"/>
        <v>580</v>
      </c>
      <c r="C205" s="109" t="str">
        <f t="shared" si="93"/>
        <v>815210</v>
      </c>
      <c r="D205" s="93" t="s">
        <v>523</v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>
        <f>VLOOKUP(A:A,'[1]דוח כספי 31.10'!A:J,9,0)</f>
        <v>5000</v>
      </c>
      <c r="P205" s="95">
        <f>VLOOKUP(A:A,'[1]דוח כספי 31.10'!A:D,4,0)</f>
        <v>0</v>
      </c>
      <c r="Q205" s="95">
        <f t="shared" si="96"/>
        <v>0</v>
      </c>
      <c r="R205" s="200"/>
      <c r="S205" s="97"/>
      <c r="T205" s="91"/>
      <c r="U205" s="85"/>
      <c r="V205" s="98"/>
      <c r="W205" s="85"/>
      <c r="X205" s="85"/>
      <c r="Y205" s="85"/>
      <c r="Z205" s="85"/>
      <c r="AA205" s="85"/>
      <c r="AB205" s="85"/>
      <c r="AC205" s="83">
        <f t="shared" si="95"/>
        <v>5000</v>
      </c>
    </row>
    <row r="206" spans="1:29" ht="15" customHeight="1">
      <c r="A206" s="93">
        <v>1815210720</v>
      </c>
      <c r="B206" s="109" t="str">
        <f t="shared" si="97"/>
        <v>720</v>
      </c>
      <c r="C206" s="109" t="str">
        <f t="shared" si="93"/>
        <v>815210</v>
      </c>
      <c r="D206" s="93" t="s">
        <v>524</v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>
        <f>VLOOKUP(A:A,'[1]דוח כספי 31.10'!A:J,9,0)</f>
        <v>0</v>
      </c>
      <c r="P206" s="95">
        <f>VLOOKUP(A:A,'[1]דוח כספי 31.10'!A:D,4,0)</f>
        <v>1600</v>
      </c>
      <c r="Q206" s="95">
        <v>2000</v>
      </c>
      <c r="R206" s="200"/>
      <c r="S206" s="97"/>
      <c r="T206" s="91"/>
      <c r="U206" s="85"/>
      <c r="V206" s="98"/>
      <c r="W206" s="85"/>
      <c r="X206" s="85"/>
      <c r="Y206" s="85"/>
      <c r="Z206" s="85"/>
      <c r="AA206" s="85"/>
      <c r="AB206" s="85"/>
      <c r="AC206" s="83">
        <f t="shared" si="95"/>
        <v>-1600</v>
      </c>
    </row>
    <row r="207" spans="1:29" ht="15" customHeight="1">
      <c r="A207" s="93">
        <v>1815210930</v>
      </c>
      <c r="B207" s="109" t="str">
        <f t="shared" si="97"/>
        <v>930</v>
      </c>
      <c r="C207" s="109" t="str">
        <f t="shared" si="93"/>
        <v>815210</v>
      </c>
      <c r="D207" s="93" t="s">
        <v>525</v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>
        <f>VLOOKUP(A:A,'[1]דוח כספי 31.10'!A:J,9,0)</f>
        <v>16000</v>
      </c>
      <c r="P207" s="95">
        <f>VLOOKUP(A:A,'[1]דוח כספי 31.10'!A:D,4,0)</f>
        <v>0</v>
      </c>
      <c r="Q207" s="95">
        <f t="shared" si="96"/>
        <v>0</v>
      </c>
      <c r="R207" s="200"/>
      <c r="S207" s="97"/>
      <c r="T207" s="91"/>
      <c r="U207" s="85"/>
      <c r="V207" s="98"/>
      <c r="W207" s="85"/>
      <c r="X207" s="85"/>
      <c r="Y207" s="85"/>
      <c r="Z207" s="85"/>
      <c r="AA207" s="85"/>
      <c r="AB207" s="85"/>
      <c r="AC207" s="83">
        <f t="shared" si="95"/>
        <v>16000</v>
      </c>
    </row>
    <row r="208" spans="1:29" ht="15" customHeight="1">
      <c r="A208" s="93">
        <v>1815211930</v>
      </c>
      <c r="B208" s="109" t="str">
        <f t="shared" si="97"/>
        <v>930</v>
      </c>
      <c r="C208" s="109" t="str">
        <f t="shared" si="93"/>
        <v>815211</v>
      </c>
      <c r="D208" s="93" t="s">
        <v>526</v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>
        <f>VLOOKUP(A:A,'[1]דוח כספי 31.10'!A:J,9,0)</f>
        <v>0</v>
      </c>
      <c r="P208" s="95">
        <f>VLOOKUP(A:A,'[1]דוח כספי 31.10'!A:D,4,0)</f>
        <v>0</v>
      </c>
      <c r="Q208" s="95">
        <f t="shared" si="96"/>
        <v>0</v>
      </c>
      <c r="R208" s="200"/>
      <c r="S208" s="97"/>
      <c r="T208" s="91"/>
      <c r="U208" s="85"/>
      <c r="V208" s="98"/>
      <c r="W208" s="85"/>
      <c r="X208" s="85"/>
      <c r="Y208" s="85"/>
      <c r="Z208" s="85"/>
      <c r="AA208" s="85"/>
      <c r="AB208" s="85"/>
      <c r="AC208" s="83">
        <f t="shared" si="95"/>
        <v>0</v>
      </c>
    </row>
    <row r="209" spans="1:30" ht="15" customHeight="1">
      <c r="A209" s="93">
        <v>1815212930</v>
      </c>
      <c r="B209" s="109" t="str">
        <f t="shared" si="97"/>
        <v>930</v>
      </c>
      <c r="C209" s="109" t="str">
        <f t="shared" si="93"/>
        <v>815212</v>
      </c>
      <c r="D209" s="93" t="s">
        <v>527</v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>
        <f>VLOOKUP(A:A,'[1]דוח כספי 31.10'!A:J,9,0)</f>
        <v>0</v>
      </c>
      <c r="P209" s="95">
        <f>VLOOKUP(A:A,'[1]דוח כספי 31.10'!A:D,4,0)</f>
        <v>2106</v>
      </c>
      <c r="Q209" s="95">
        <v>3000</v>
      </c>
      <c r="R209" s="200"/>
      <c r="S209" s="97"/>
      <c r="T209" s="91"/>
      <c r="U209" s="85"/>
      <c r="V209" s="98"/>
      <c r="W209" s="85"/>
      <c r="X209" s="85"/>
      <c r="Y209" s="85"/>
      <c r="Z209" s="85"/>
      <c r="AA209" s="85"/>
      <c r="AB209" s="85"/>
      <c r="AC209" s="83">
        <f t="shared" si="95"/>
        <v>-2106</v>
      </c>
    </row>
    <row r="210" spans="1:30" ht="17.25" customHeight="1">
      <c r="A210" s="93">
        <v>1815300431</v>
      </c>
      <c r="B210" s="109" t="str">
        <f t="shared" si="97"/>
        <v>431</v>
      </c>
      <c r="C210" s="109" t="str">
        <f t="shared" si="93"/>
        <v>815300</v>
      </c>
      <c r="D210" s="93" t="s">
        <v>528</v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>
        <f>VLOOKUP(A:A,'[1]דוח כספי 31.10'!A:J,9,0)</f>
        <v>74000</v>
      </c>
      <c r="P210" s="95">
        <f>VLOOKUP(A:A,'[1]דוח כספי 31.10'!A:D,4,0)</f>
        <v>73944.759999999995</v>
      </c>
      <c r="Q210" s="95">
        <v>90000</v>
      </c>
      <c r="R210" s="200"/>
      <c r="S210" s="97"/>
      <c r="T210" s="91"/>
      <c r="U210" s="85"/>
      <c r="V210" s="98"/>
      <c r="W210" s="85"/>
      <c r="X210" s="85"/>
      <c r="Y210" s="85"/>
      <c r="Z210" s="85"/>
      <c r="AA210" s="85"/>
      <c r="AB210" s="85"/>
      <c r="AC210" s="83">
        <f t="shared" si="95"/>
        <v>55.240000000005239</v>
      </c>
    </row>
    <row r="211" spans="1:30" ht="15" customHeight="1">
      <c r="A211" s="93">
        <v>1815700110</v>
      </c>
      <c r="B211" s="109" t="str">
        <f t="shared" si="97"/>
        <v>110</v>
      </c>
      <c r="C211" s="109" t="str">
        <f t="shared" si="93"/>
        <v>815700</v>
      </c>
      <c r="D211" s="93" t="s">
        <v>529</v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>
        <f>VLOOKUP(A:A,'[1]דוח כספי 31.10'!A:J,9,0)</f>
        <v>9666000</v>
      </c>
      <c r="P211" s="95">
        <f>VLOOKUP(A:A,'[1]דוח כספי 31.10'!A:D,4,0)</f>
        <v>7577252.8799999999</v>
      </c>
      <c r="Q211" s="95">
        <v>9900000</v>
      </c>
      <c r="R211" s="200"/>
      <c r="S211" s="97"/>
      <c r="T211" s="91"/>
      <c r="U211" s="85"/>
      <c r="V211" s="98"/>
      <c r="W211" s="85"/>
      <c r="X211" s="85"/>
      <c r="Y211" s="85"/>
      <c r="Z211" s="85"/>
      <c r="AA211" s="85"/>
      <c r="AB211" s="85"/>
      <c r="AC211"/>
    </row>
    <row r="212" spans="1:30" ht="14.25" customHeight="1">
      <c r="A212" s="93">
        <v>1815700312</v>
      </c>
      <c r="B212" s="109" t="str">
        <f t="shared" si="97"/>
        <v>312</v>
      </c>
      <c r="C212" s="109" t="str">
        <f t="shared" si="93"/>
        <v>815700</v>
      </c>
      <c r="D212" s="93" t="s">
        <v>530</v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>
        <f>VLOOKUP(A:A,'[1]דוח כספי 31.10'!A:J,9,0)</f>
        <v>0</v>
      </c>
      <c r="P212" s="95">
        <f>VLOOKUP(A:A,'[1]דוח כספי 31.10'!A:D,4,0)</f>
        <v>0</v>
      </c>
      <c r="Q212" s="95">
        <f t="shared" si="94"/>
        <v>0</v>
      </c>
      <c r="R212" s="200"/>
      <c r="S212" s="97"/>
      <c r="T212" s="91"/>
      <c r="U212" s="85"/>
      <c r="V212" s="98"/>
      <c r="W212" s="85"/>
      <c r="X212" s="85"/>
      <c r="Y212" s="85"/>
      <c r="Z212" s="85"/>
      <c r="AA212" s="85"/>
      <c r="AB212" s="85"/>
      <c r="AC212"/>
    </row>
    <row r="213" spans="1:30" ht="15" customHeight="1">
      <c r="A213" s="93">
        <v>1815710432</v>
      </c>
      <c r="B213" s="109" t="str">
        <f t="shared" si="97"/>
        <v>432</v>
      </c>
      <c r="C213" s="109" t="str">
        <f t="shared" si="93"/>
        <v>815710</v>
      </c>
      <c r="D213" s="93" t="s">
        <v>688</v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>
        <f>VLOOKUP(A:A,'[1]דוח כספי 31.10'!A:J,9,0)</f>
        <v>0</v>
      </c>
      <c r="P213" s="95">
        <f>VLOOKUP(A:A,'[1]דוח כספי 31.10'!A:D,4,0)</f>
        <v>440000</v>
      </c>
      <c r="Q213" s="95">
        <v>440000</v>
      </c>
      <c r="R213" s="200"/>
      <c r="S213" s="97"/>
      <c r="T213" s="91"/>
      <c r="U213" s="85"/>
      <c r="V213" s="98"/>
      <c r="W213" s="85"/>
      <c r="X213" s="85"/>
      <c r="Y213" s="85"/>
      <c r="Z213" s="85"/>
      <c r="AA213" s="85"/>
      <c r="AB213" s="85"/>
      <c r="AC213" s="83">
        <f t="shared" ref="AC213:AC214" si="98">O213-P213</f>
        <v>-440000</v>
      </c>
    </row>
    <row r="214" spans="1:30" ht="15" customHeight="1">
      <c r="A214" s="93">
        <v>1815710810</v>
      </c>
      <c r="B214" s="109" t="str">
        <f t="shared" si="97"/>
        <v>810</v>
      </c>
      <c r="C214" s="109" t="str">
        <f t="shared" si="93"/>
        <v>815710</v>
      </c>
      <c r="D214" s="93" t="s">
        <v>140</v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>
        <f>VLOOKUP(A:A,'[1]דוח כספי 31.10'!A:J,9,0)</f>
        <v>0</v>
      </c>
      <c r="P214" s="95">
        <f>VLOOKUP(A:A,'[1]דוח כספי 31.10'!A:D,4,0)</f>
        <v>0</v>
      </c>
      <c r="Q214" s="95">
        <f t="shared" ref="Q214" si="99">P214/10*12</f>
        <v>0</v>
      </c>
      <c r="R214" s="200"/>
      <c r="S214" s="97"/>
      <c r="T214" s="91"/>
      <c r="U214" s="85"/>
      <c r="V214" s="98"/>
      <c r="W214" s="85"/>
      <c r="X214" s="85"/>
      <c r="Y214" s="85"/>
      <c r="Z214" s="85"/>
      <c r="AA214" s="85"/>
      <c r="AB214" s="85"/>
      <c r="AC214" s="83">
        <f t="shared" si="98"/>
        <v>0</v>
      </c>
    </row>
    <row r="215" spans="1:30" ht="18.75" customHeight="1">
      <c r="A215" s="93">
        <v>1815800110</v>
      </c>
      <c r="B215" s="109" t="str">
        <f t="shared" si="97"/>
        <v>110</v>
      </c>
      <c r="C215" s="109" t="str">
        <f t="shared" si="93"/>
        <v>815800</v>
      </c>
      <c r="D215" s="93" t="s">
        <v>533</v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>
        <f>VLOOKUP(A:A,'[1]דוח כספי 31.10'!A:J,9,0)</f>
        <v>3242000</v>
      </c>
      <c r="P215" s="95">
        <f>VLOOKUP(A:A,'[1]דוח כספי 31.10'!A:D,4,0)</f>
        <v>4232146.43</v>
      </c>
      <c r="Q215" s="95">
        <v>5800000</v>
      </c>
      <c r="R215" s="200"/>
      <c r="S215" s="97"/>
      <c r="T215" s="91"/>
      <c r="U215" s="85"/>
      <c r="V215" s="98"/>
      <c r="W215" s="85"/>
      <c r="X215" s="85"/>
      <c r="Y215" s="85"/>
      <c r="Z215" s="85"/>
      <c r="AA215" s="85"/>
      <c r="AB215" s="85"/>
      <c r="AC215"/>
    </row>
    <row r="216" spans="1:30" ht="15" customHeight="1">
      <c r="A216" s="206"/>
      <c r="B216" s="201"/>
      <c r="C216" s="201"/>
      <c r="D216" s="202" t="s">
        <v>534</v>
      </c>
      <c r="E216" s="203" t="e">
        <f>SUM(#REF!)</f>
        <v>#REF!</v>
      </c>
      <c r="F216" s="203" t="e">
        <f>SUM(#REF!)</f>
        <v>#REF!</v>
      </c>
      <c r="G216" s="203" t="e">
        <f>SUM(#REF!)</f>
        <v>#REF!</v>
      </c>
      <c r="H216" s="203" t="e">
        <f>SUM(#REF!)</f>
        <v>#REF!</v>
      </c>
      <c r="I216" s="203" t="e">
        <f>SUM(#REF!)</f>
        <v>#REF!</v>
      </c>
      <c r="J216" s="203" t="e">
        <f>SUM(#REF!)</f>
        <v>#REF!</v>
      </c>
      <c r="K216" s="203" t="e">
        <f>SUM(#REF!)</f>
        <v>#REF!</v>
      </c>
      <c r="L216" s="203" t="e">
        <f>SUM(#REF!)</f>
        <v>#REF!</v>
      </c>
      <c r="M216" s="203" t="e">
        <f>SUM(#REF!)</f>
        <v>#REF!</v>
      </c>
      <c r="N216" s="203" t="e">
        <f>SUM(#REF!)</f>
        <v>#REF!</v>
      </c>
      <c r="O216" s="203">
        <f>SUM(O179:O215)</f>
        <v>14379000</v>
      </c>
      <c r="P216" s="203">
        <f t="shared" ref="P216:R216" si="100">SUM(P179:P215)</f>
        <v>13469842.279999999</v>
      </c>
      <c r="Q216" s="203">
        <f t="shared" si="100"/>
        <v>17807500</v>
      </c>
      <c r="R216" s="203">
        <f t="shared" si="100"/>
        <v>0</v>
      </c>
      <c r="S216" s="203" t="e">
        <f>SUM(#REF!)</f>
        <v>#REF!</v>
      </c>
      <c r="T216" s="203" t="e">
        <f>SUM(#REF!)</f>
        <v>#REF!</v>
      </c>
      <c r="U216" s="85">
        <f>IF(ISBLANK(A216),1,--OR(K216&gt;1,L216&gt;1,M216&gt;1))</f>
        <v>1</v>
      </c>
      <c r="V216" s="98">
        <v>0</v>
      </c>
      <c r="W216" s="85"/>
      <c r="X216" s="85"/>
      <c r="Y216" s="85"/>
      <c r="Z216" s="85"/>
      <c r="AA216" s="85"/>
      <c r="AB216" s="85"/>
      <c r="AC216" s="83">
        <f>O216-P216</f>
        <v>909157.72000000067</v>
      </c>
    </row>
    <row r="217" spans="1:30" ht="21" customHeight="1">
      <c r="A217" s="93">
        <v>1817000110</v>
      </c>
      <c r="B217" s="109" t="str">
        <f t="shared" si="97"/>
        <v>110</v>
      </c>
      <c r="C217" s="109" t="str">
        <f t="shared" ref="C217:C220" si="101">MID(A217,2,6)</f>
        <v>817000</v>
      </c>
      <c r="D217" s="93" t="s">
        <v>413</v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>
        <f>VLOOKUP(A:A,'[1]דוח כספי 31.10'!A:J,9,0)</f>
        <v>1365000</v>
      </c>
      <c r="P217" s="95">
        <f>VLOOKUP(A:A,'[1]דוח כספי 31.10'!A:D,4,0)</f>
        <v>1280309.97</v>
      </c>
      <c r="Q217" s="95">
        <v>1707000</v>
      </c>
      <c r="R217" s="200"/>
      <c r="S217" s="97"/>
      <c r="T217" s="91"/>
      <c r="U217" s="85"/>
      <c r="V217" s="98"/>
      <c r="W217" s="85"/>
      <c r="X217" s="85"/>
      <c r="Y217" s="85"/>
      <c r="Z217" s="85"/>
      <c r="AA217" s="85"/>
      <c r="AB217" s="85"/>
      <c r="AC217"/>
    </row>
    <row r="218" spans="1:30" ht="15" customHeight="1">
      <c r="A218" s="93">
        <v>1817000460</v>
      </c>
      <c r="B218" s="109" t="str">
        <f t="shared" si="97"/>
        <v>460</v>
      </c>
      <c r="C218" s="109" t="str">
        <f t="shared" si="101"/>
        <v>817000</v>
      </c>
      <c r="D218" s="93" t="s">
        <v>535</v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>
        <f>VLOOKUP(A:A,'[1]דוח כספי 31.10'!A:J,9,0)</f>
        <v>5000</v>
      </c>
      <c r="P218" s="95">
        <f>VLOOKUP(A:A,'[1]דוח כספי 31.10'!A:D,4,0)</f>
        <v>1501</v>
      </c>
      <c r="Q218" s="95">
        <v>2000</v>
      </c>
      <c r="R218" s="200"/>
      <c r="S218" s="97"/>
      <c r="T218" s="91"/>
      <c r="U218" s="85"/>
      <c r="V218" s="98"/>
      <c r="W218" s="85"/>
      <c r="X218" s="85"/>
      <c r="Y218" s="85"/>
      <c r="Z218" s="85"/>
      <c r="AA218" s="85"/>
      <c r="AB218" s="85"/>
      <c r="AC218" s="83">
        <f t="shared" ref="AC218:AC221" si="102">O218-P218</f>
        <v>3499</v>
      </c>
    </row>
    <row r="219" spans="1:30" ht="15" customHeight="1">
      <c r="A219" s="93">
        <v>1817000470</v>
      </c>
      <c r="B219" s="109" t="str">
        <f t="shared" si="97"/>
        <v>470</v>
      </c>
      <c r="C219" s="109" t="str">
        <f t="shared" si="101"/>
        <v>817000</v>
      </c>
      <c r="D219" s="93" t="s">
        <v>536</v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>
        <f>VLOOKUP(A:A,'[1]דוח כספי 31.10'!A:J,9,0)</f>
        <v>9000</v>
      </c>
      <c r="P219" s="95">
        <f>VLOOKUP(A:A,'[1]דוח כספי 31.10'!A:D,4,0)</f>
        <v>127</v>
      </c>
      <c r="Q219" s="95">
        <v>1000</v>
      </c>
      <c r="R219" s="200"/>
      <c r="S219" s="97"/>
      <c r="T219" s="91"/>
      <c r="U219" s="85"/>
      <c r="V219" s="98"/>
      <c r="W219" s="85"/>
      <c r="X219" s="85"/>
      <c r="Y219" s="85"/>
      <c r="Z219" s="85"/>
      <c r="AA219" s="85"/>
      <c r="AB219" s="85"/>
      <c r="AC219" s="83">
        <f t="shared" si="102"/>
        <v>8873</v>
      </c>
    </row>
    <row r="220" spans="1:30" ht="15" customHeight="1">
      <c r="A220" s="93">
        <v>1817100750</v>
      </c>
      <c r="B220" s="109" t="str">
        <f t="shared" si="97"/>
        <v>750</v>
      </c>
      <c r="C220" s="109" t="str">
        <f t="shared" si="101"/>
        <v>817100</v>
      </c>
      <c r="D220" s="93" t="s">
        <v>537</v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>
        <f>VLOOKUP(A:A,'[1]דוח כספי 31.10'!A:J,9,0)</f>
        <v>1060000</v>
      </c>
      <c r="P220" s="95">
        <f>VLOOKUP(A:A,'[1]דוח כספי 31.10'!A:D,4,0)</f>
        <v>547539.55000000005</v>
      </c>
      <c r="Q220" s="95">
        <v>730000</v>
      </c>
      <c r="R220" s="200"/>
      <c r="S220" s="97"/>
      <c r="T220" s="91"/>
      <c r="U220" s="85"/>
      <c r="V220" s="98"/>
      <c r="W220" s="85"/>
      <c r="X220" s="85"/>
      <c r="Y220" s="85"/>
      <c r="Z220" s="85"/>
      <c r="AA220" s="85"/>
      <c r="AB220" s="85"/>
      <c r="AC220" s="83">
        <f t="shared" si="102"/>
        <v>512460.44999999995</v>
      </c>
    </row>
    <row r="221" spans="1:30" ht="15" customHeight="1">
      <c r="A221" s="206"/>
      <c r="B221" s="201"/>
      <c r="C221" s="201"/>
      <c r="D221" s="202" t="s">
        <v>689</v>
      </c>
      <c r="E221" s="203"/>
      <c r="F221" s="203"/>
      <c r="G221" s="203"/>
      <c r="H221" s="203"/>
      <c r="I221" s="210"/>
      <c r="J221" s="210"/>
      <c r="K221" s="210"/>
      <c r="L221" s="210"/>
      <c r="M221" s="210"/>
      <c r="N221" s="210"/>
      <c r="O221" s="210">
        <f>SUM(O217:O220)</f>
        <v>2439000</v>
      </c>
      <c r="P221" s="210">
        <f t="shared" ref="P221:R221" si="103">SUM(P217:P220)</f>
        <v>1829477.52</v>
      </c>
      <c r="Q221" s="210">
        <f t="shared" si="103"/>
        <v>2440000</v>
      </c>
      <c r="R221" s="210">
        <f t="shared" si="103"/>
        <v>0</v>
      </c>
      <c r="S221" s="215"/>
      <c r="T221" s="215"/>
      <c r="U221" s="85"/>
      <c r="V221" s="98"/>
      <c r="W221" s="85"/>
      <c r="X221" s="85"/>
      <c r="Y221" s="85"/>
      <c r="Z221" s="85"/>
      <c r="AA221" s="85"/>
      <c r="AB221" s="85"/>
      <c r="AC221" s="83">
        <f t="shared" si="102"/>
        <v>609522.48</v>
      </c>
      <c r="AD221">
        <v>0</v>
      </c>
    </row>
    <row r="222" spans="1:30" ht="20.25" customHeight="1">
      <c r="A222" s="93">
        <v>1817300110</v>
      </c>
      <c r="B222" s="109" t="str">
        <f t="shared" si="97"/>
        <v>110</v>
      </c>
      <c r="C222" s="109" t="str">
        <f t="shared" ref="C222:C226" si="104">MID(A222,2,6)</f>
        <v>817300</v>
      </c>
      <c r="D222" s="93" t="s">
        <v>540</v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>
        <v>730000</v>
      </c>
      <c r="P222" s="95">
        <v>527084</v>
      </c>
      <c r="Q222" s="95">
        <v>703000</v>
      </c>
      <c r="R222" s="200"/>
      <c r="S222" s="97"/>
      <c r="T222" s="91"/>
      <c r="U222" s="85"/>
      <c r="V222" s="98"/>
      <c r="W222" s="85"/>
      <c r="X222" s="85"/>
      <c r="Y222" s="85"/>
      <c r="Z222" s="85"/>
      <c r="AA222" s="85"/>
      <c r="AB222" s="85"/>
      <c r="AC222"/>
    </row>
    <row r="223" spans="1:30" ht="15" customHeight="1">
      <c r="A223" s="93">
        <v>1817300410</v>
      </c>
      <c r="B223" s="109" t="str">
        <f t="shared" si="97"/>
        <v>410</v>
      </c>
      <c r="C223" s="109" t="str">
        <f t="shared" si="104"/>
        <v>817300</v>
      </c>
      <c r="D223" s="93" t="s">
        <v>541</v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>
        <f>VLOOKUP(A:A,'[1]דוח כספי 31.10'!A:J,9,0)</f>
        <v>24000</v>
      </c>
      <c r="P223" s="95">
        <f>VLOOKUP(A:A,'[1]דוח כספי 31.10'!A:D,4,0)</f>
        <v>24000</v>
      </c>
      <c r="Q223" s="95">
        <v>24000</v>
      </c>
      <c r="R223" s="200"/>
      <c r="S223" s="97"/>
      <c r="T223" s="91"/>
      <c r="U223" s="85"/>
      <c r="V223" s="98"/>
      <c r="W223" s="85"/>
      <c r="X223" s="85"/>
      <c r="Y223" s="85"/>
      <c r="Z223" s="85"/>
      <c r="AA223" s="85"/>
      <c r="AB223" s="85"/>
      <c r="AC223" s="83">
        <f t="shared" ref="AC223:AC227" si="105">O223-P223</f>
        <v>0</v>
      </c>
    </row>
    <row r="224" spans="1:30" ht="15" customHeight="1">
      <c r="A224" s="93">
        <v>1817300540</v>
      </c>
      <c r="B224" s="109" t="str">
        <f t="shared" si="97"/>
        <v>540</v>
      </c>
      <c r="C224" s="109" t="str">
        <f t="shared" si="104"/>
        <v>817300</v>
      </c>
      <c r="D224" s="93" t="s">
        <v>542</v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>
        <f>VLOOKUP(A:A,'[1]דוח כספי 31.10'!A:J,9,0)</f>
        <v>0</v>
      </c>
      <c r="P224" s="95">
        <f>VLOOKUP(A:A,'[1]דוח כספי 31.10'!A:D,4,0)</f>
        <v>7472.62</v>
      </c>
      <c r="Q224" s="95">
        <v>9000</v>
      </c>
      <c r="R224" s="200"/>
      <c r="S224" s="97"/>
      <c r="T224" s="91"/>
      <c r="U224" s="85"/>
      <c r="V224" s="98"/>
      <c r="W224" s="85"/>
      <c r="X224" s="85"/>
      <c r="Y224" s="85"/>
      <c r="Z224" s="85"/>
      <c r="AA224" s="85"/>
      <c r="AB224" s="85"/>
      <c r="AC224" s="83">
        <f t="shared" si="105"/>
        <v>-7472.62</v>
      </c>
    </row>
    <row r="225" spans="1:30" ht="15" customHeight="1">
      <c r="A225" s="93">
        <v>1817300750</v>
      </c>
      <c r="B225" s="109" t="str">
        <f t="shared" si="97"/>
        <v>750</v>
      </c>
      <c r="C225" s="109" t="str">
        <f t="shared" si="104"/>
        <v>817300</v>
      </c>
      <c r="D225" s="93" t="s">
        <v>543</v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>
        <f>VLOOKUP(A:A,'[1]דוח כספי 31.10'!A:J,9,0)</f>
        <v>0</v>
      </c>
      <c r="P225" s="95">
        <f>VLOOKUP(A:A,'[1]דוח כספי 31.10'!A:D,4,0)</f>
        <v>0</v>
      </c>
      <c r="Q225" s="95">
        <f t="shared" ref="Q225" si="106">P225/10*12</f>
        <v>0</v>
      </c>
      <c r="R225" s="200"/>
      <c r="S225" s="97"/>
      <c r="T225" s="91"/>
      <c r="U225" s="85"/>
      <c r="V225" s="98"/>
      <c r="W225" s="85"/>
      <c r="X225" s="85"/>
      <c r="Y225" s="85"/>
      <c r="Z225" s="85"/>
      <c r="AA225" s="85"/>
      <c r="AB225" s="85"/>
      <c r="AC225" s="83">
        <f t="shared" si="105"/>
        <v>0</v>
      </c>
    </row>
    <row r="226" spans="1:30" ht="15" customHeight="1">
      <c r="A226" s="93">
        <v>1817300810</v>
      </c>
      <c r="B226" s="109" t="str">
        <f t="shared" si="97"/>
        <v>810</v>
      </c>
      <c r="C226" s="109" t="str">
        <f t="shared" si="104"/>
        <v>817300</v>
      </c>
      <c r="D226" s="93" t="s">
        <v>544</v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>
        <f>VLOOKUP(A:A,'[1]דוח כספי 31.10'!A:J,9,0)</f>
        <v>71000</v>
      </c>
      <c r="P226" s="95">
        <f>VLOOKUP(A:A,'[1]דוח כספי 31.10'!A:D,4,0)</f>
        <v>16800</v>
      </c>
      <c r="Q226" s="95">
        <v>33000</v>
      </c>
      <c r="R226" s="200"/>
      <c r="S226" s="97"/>
      <c r="T226" s="91"/>
      <c r="U226" s="85"/>
      <c r="V226" s="98"/>
      <c r="W226" s="85"/>
      <c r="X226" s="85"/>
      <c r="Y226" s="85"/>
      <c r="Z226" s="85"/>
      <c r="AA226" s="85"/>
      <c r="AB226" s="85"/>
      <c r="AC226" s="83">
        <f t="shared" si="105"/>
        <v>54200</v>
      </c>
    </row>
    <row r="227" spans="1:30" ht="15" customHeight="1">
      <c r="A227" s="206"/>
      <c r="B227" s="201"/>
      <c r="C227" s="201"/>
      <c r="D227" s="202" t="s">
        <v>133</v>
      </c>
      <c r="E227" s="203" t="e">
        <f>SUM(#REF!)</f>
        <v>#REF!</v>
      </c>
      <c r="F227" s="203" t="e">
        <f>SUM(#REF!)</f>
        <v>#REF!</v>
      </c>
      <c r="G227" s="203" t="e">
        <f>SUM(#REF!)</f>
        <v>#REF!</v>
      </c>
      <c r="H227" s="203" t="e">
        <f>SUM(#REF!)</f>
        <v>#REF!</v>
      </c>
      <c r="I227" s="203" t="e">
        <f>SUM(#REF!)</f>
        <v>#REF!</v>
      </c>
      <c r="J227" s="203" t="e">
        <f>SUM(#REF!)</f>
        <v>#REF!</v>
      </c>
      <c r="K227" s="203" t="e">
        <f>SUM(#REF!)</f>
        <v>#REF!</v>
      </c>
      <c r="L227" s="203" t="e">
        <f>SUM(#REF!)</f>
        <v>#REF!</v>
      </c>
      <c r="M227" s="203" t="e">
        <f>SUM(#REF!)</f>
        <v>#REF!</v>
      </c>
      <c r="N227" s="203" t="e">
        <f>SUM(#REF!)</f>
        <v>#REF!</v>
      </c>
      <c r="O227" s="203">
        <f>SUM(O222:O226)</f>
        <v>825000</v>
      </c>
      <c r="P227" s="203">
        <f t="shared" ref="P227:R227" si="107">SUM(P222:P226)</f>
        <v>575356.62</v>
      </c>
      <c r="Q227" s="203">
        <f t="shared" si="107"/>
        <v>769000</v>
      </c>
      <c r="R227" s="203">
        <f t="shared" si="107"/>
        <v>0</v>
      </c>
      <c r="S227" s="205"/>
      <c r="T227" s="91"/>
      <c r="U227" s="85">
        <f>IF(ISBLANK(A227),1,--OR(K227&gt;1,L227&gt;1,M227&gt;1))</f>
        <v>1</v>
      </c>
      <c r="V227" s="98">
        <v>0</v>
      </c>
      <c r="W227" s="85"/>
      <c r="X227" s="85"/>
      <c r="Y227" s="85"/>
      <c r="Z227" s="85"/>
      <c r="AA227" s="85"/>
      <c r="AB227" s="85"/>
      <c r="AC227" s="83">
        <f t="shared" si="105"/>
        <v>249643.38</v>
      </c>
      <c r="AD227">
        <v>0</v>
      </c>
    </row>
    <row r="228" spans="1:30" ht="21.75" customHeight="1">
      <c r="A228" s="93">
        <v>1817700110</v>
      </c>
      <c r="B228" s="109" t="str">
        <f t="shared" si="97"/>
        <v>110</v>
      </c>
      <c r="C228" s="109" t="str">
        <f t="shared" ref="C228:C241" si="108">MID(A228,2,6)</f>
        <v>817700</v>
      </c>
      <c r="D228" s="93" t="s">
        <v>545</v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>
        <f>VLOOKUP(A:A,'[1]דוח כספי 31.10'!A:J,9,0)</f>
        <v>299000</v>
      </c>
      <c r="P228" s="95">
        <f>VLOOKUP(A:A,'[1]דוח כספי 31.10'!A:D,4,0)</f>
        <v>167643.94</v>
      </c>
      <c r="Q228" s="95">
        <v>212000</v>
      </c>
      <c r="R228" s="200"/>
      <c r="S228" s="97"/>
      <c r="T228" s="91"/>
      <c r="U228" s="85"/>
      <c r="V228" s="98"/>
      <c r="W228" s="85"/>
      <c r="X228" s="85"/>
      <c r="Y228" s="85"/>
      <c r="Z228" s="85"/>
      <c r="AA228" s="85"/>
      <c r="AB228" s="85"/>
      <c r="AC228"/>
      <c r="AD228">
        <v>0</v>
      </c>
    </row>
    <row r="229" spans="1:30" ht="15" customHeight="1">
      <c r="A229" s="93">
        <v>1817700810</v>
      </c>
      <c r="B229" s="109" t="str">
        <f t="shared" si="97"/>
        <v>810</v>
      </c>
      <c r="C229" s="109" t="str">
        <f t="shared" si="108"/>
        <v>817700</v>
      </c>
      <c r="D229" s="93" t="s">
        <v>546</v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>
        <f>VLOOKUP(A:A,'[1]דוח כספי 31.10'!A:J,9,0)</f>
        <v>32000</v>
      </c>
      <c r="P229" s="95">
        <f>VLOOKUP(A:A,'[1]דוח כספי 31.10'!A:D,4,0)</f>
        <v>24800</v>
      </c>
      <c r="Q229" s="95">
        <v>30000</v>
      </c>
      <c r="R229" s="200"/>
      <c r="S229" s="97"/>
      <c r="T229" s="91"/>
      <c r="U229" s="85"/>
      <c r="V229" s="98"/>
      <c r="W229" s="85"/>
      <c r="X229" s="85"/>
      <c r="Y229" s="85"/>
      <c r="Z229" s="85"/>
      <c r="AA229" s="85"/>
      <c r="AB229" s="85"/>
      <c r="AC229" s="83">
        <f t="shared" ref="AC229:AC240" si="109">O229-P229</f>
        <v>7200</v>
      </c>
    </row>
    <row r="230" spans="1:30" ht="15" customHeight="1">
      <c r="A230" s="93">
        <v>1817710750</v>
      </c>
      <c r="B230" s="109" t="str">
        <f t="shared" si="97"/>
        <v>750</v>
      </c>
      <c r="C230" s="109" t="str">
        <f t="shared" si="108"/>
        <v>817710</v>
      </c>
      <c r="D230" s="93" t="s">
        <v>547</v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>
        <f>VLOOKUP(A:A,'[1]דוח כספי 31.10'!A:J,9,0)</f>
        <v>0</v>
      </c>
      <c r="P230" s="95">
        <f>VLOOKUP(A:A,'[1]דוח כספי 31.10'!A:D,4,0)</f>
        <v>8951</v>
      </c>
      <c r="Q230" s="95">
        <v>11000</v>
      </c>
      <c r="R230" s="200"/>
      <c r="S230" s="97"/>
      <c r="T230" s="91"/>
      <c r="U230" s="85"/>
      <c r="V230" s="98"/>
      <c r="W230" s="85"/>
      <c r="X230" s="85"/>
      <c r="Y230" s="85"/>
      <c r="Z230" s="85"/>
      <c r="AA230" s="85"/>
      <c r="AB230" s="85"/>
      <c r="AC230" s="83">
        <f t="shared" si="109"/>
        <v>-8951</v>
      </c>
    </row>
    <row r="231" spans="1:30" ht="15" customHeight="1">
      <c r="A231" s="93">
        <v>1817720920</v>
      </c>
      <c r="B231" s="109" t="str">
        <f t="shared" si="97"/>
        <v>920</v>
      </c>
      <c r="C231" s="109" t="str">
        <f t="shared" si="108"/>
        <v>817720</v>
      </c>
      <c r="D231" s="93" t="s">
        <v>548</v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>
        <f>VLOOKUP(A:A,'[1]דוח כספי 31.10'!A:J,9,0)</f>
        <v>0</v>
      </c>
      <c r="P231" s="95">
        <f>VLOOKUP(A:A,'[1]דוח כספי 31.10'!A:D,4,0)</f>
        <v>0</v>
      </c>
      <c r="Q231" s="95">
        <f t="shared" ref="Q231:Q240" si="110">P231/10*12</f>
        <v>0</v>
      </c>
      <c r="R231" s="200"/>
      <c r="S231" s="97"/>
      <c r="T231" s="91"/>
      <c r="U231" s="85"/>
      <c r="V231" s="98"/>
      <c r="W231" s="85"/>
      <c r="X231" s="85"/>
      <c r="Y231" s="85"/>
      <c r="Z231" s="85"/>
      <c r="AA231" s="85"/>
      <c r="AB231" s="85"/>
      <c r="AC231" s="83">
        <f t="shared" si="109"/>
        <v>0</v>
      </c>
    </row>
    <row r="232" spans="1:30" ht="15" customHeight="1">
      <c r="A232" s="93">
        <v>1817800710</v>
      </c>
      <c r="B232" s="109" t="str">
        <f t="shared" si="97"/>
        <v>710</v>
      </c>
      <c r="C232" s="109" t="str">
        <f t="shared" si="108"/>
        <v>817800</v>
      </c>
      <c r="D232" s="93" t="s">
        <v>549</v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>
        <f>VLOOKUP(A:A,'[1]דוח כספי 31.10'!A:J,9,0)</f>
        <v>1594000</v>
      </c>
      <c r="P232" s="95">
        <f>VLOOKUP(A:A,'[1]דוח כספי 31.10'!A:D,4,0)</f>
        <v>1257856.3400000001</v>
      </c>
      <c r="Q232" s="95">
        <v>1510000</v>
      </c>
      <c r="R232" s="200"/>
      <c r="S232" s="97"/>
      <c r="T232" s="91"/>
      <c r="U232" s="85"/>
      <c r="V232" s="98"/>
      <c r="W232" s="85"/>
      <c r="X232" s="85"/>
      <c r="Y232" s="85"/>
      <c r="Z232" s="85"/>
      <c r="AA232" s="85"/>
      <c r="AB232" s="85"/>
      <c r="AC232" s="83">
        <f t="shared" si="109"/>
        <v>336143.65999999992</v>
      </c>
    </row>
    <row r="233" spans="1:30" ht="15" customHeight="1">
      <c r="A233" s="93">
        <v>1817800711</v>
      </c>
      <c r="B233" s="109" t="str">
        <f t="shared" si="97"/>
        <v>711</v>
      </c>
      <c r="C233" s="109" t="str">
        <f t="shared" si="108"/>
        <v>817800</v>
      </c>
      <c r="D233" s="93" t="s">
        <v>145</v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>
        <f>VLOOKUP(A:A,'[1]דוח כספי 31.10'!A:J,9,0)</f>
        <v>208000</v>
      </c>
      <c r="P233" s="95">
        <f>VLOOKUP(A:A,'[1]דוח כספי 31.10'!A:D,4,0)</f>
        <v>0</v>
      </c>
      <c r="Q233" s="95">
        <f t="shared" si="110"/>
        <v>0</v>
      </c>
      <c r="R233" s="200"/>
      <c r="S233" s="97"/>
      <c r="T233" s="91"/>
      <c r="U233" s="85"/>
      <c r="V233" s="98"/>
      <c r="W233" s="85"/>
      <c r="X233" s="85"/>
      <c r="Y233" s="85"/>
      <c r="Z233" s="85"/>
      <c r="AA233" s="85"/>
      <c r="AB233" s="85"/>
      <c r="AC233" s="83">
        <f t="shared" si="109"/>
        <v>208000</v>
      </c>
    </row>
    <row r="234" spans="1:30" ht="15" customHeight="1">
      <c r="A234" s="93">
        <v>1817800810</v>
      </c>
      <c r="B234" s="109" t="str">
        <f t="shared" si="97"/>
        <v>810</v>
      </c>
      <c r="C234" s="109" t="str">
        <f t="shared" si="108"/>
        <v>817800</v>
      </c>
      <c r="D234" s="93" t="s">
        <v>145</v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>
        <f>VLOOKUP(A:A,'[1]דוח כספי 31.10'!A:J,9,0)</f>
        <v>0</v>
      </c>
      <c r="P234" s="95">
        <f>VLOOKUP(A:A,'[1]דוח כספי 31.10'!A:D,4,0)</f>
        <v>0</v>
      </c>
      <c r="Q234" s="95">
        <f t="shared" si="110"/>
        <v>0</v>
      </c>
      <c r="R234" s="200"/>
      <c r="S234" s="97"/>
      <c r="T234" s="91"/>
      <c r="U234" s="85"/>
      <c r="V234" s="98"/>
      <c r="W234" s="85"/>
      <c r="X234" s="85"/>
      <c r="Y234" s="85"/>
      <c r="Z234" s="85"/>
      <c r="AA234" s="85"/>
      <c r="AB234" s="85"/>
      <c r="AC234" s="83">
        <f t="shared" si="109"/>
        <v>0</v>
      </c>
    </row>
    <row r="235" spans="1:30" ht="15" customHeight="1">
      <c r="A235" s="93">
        <v>1817830710</v>
      </c>
      <c r="B235" s="109" t="str">
        <f t="shared" si="97"/>
        <v>710</v>
      </c>
      <c r="C235" s="109" t="str">
        <f t="shared" si="108"/>
        <v>817830</v>
      </c>
      <c r="D235" s="93" t="s">
        <v>145</v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>
        <f>VLOOKUP(A:A,'[1]דוח כספי 31.10'!A:J,9,0)</f>
        <v>0</v>
      </c>
      <c r="P235" s="95">
        <f>VLOOKUP(A:A,'[1]דוח כספי 31.10'!A:D,4,0)</f>
        <v>0</v>
      </c>
      <c r="Q235" s="95">
        <f t="shared" si="110"/>
        <v>0</v>
      </c>
      <c r="R235" s="200"/>
      <c r="S235" s="97"/>
      <c r="T235" s="91"/>
      <c r="U235" s="85"/>
      <c r="V235" s="98"/>
      <c r="W235" s="85"/>
      <c r="X235" s="85"/>
      <c r="Y235" s="85"/>
      <c r="Z235" s="85"/>
      <c r="AA235" s="85"/>
      <c r="AB235" s="85"/>
      <c r="AC235" s="83">
        <f t="shared" si="109"/>
        <v>0</v>
      </c>
    </row>
    <row r="236" spans="1:30" ht="15" customHeight="1">
      <c r="A236" s="93">
        <v>1817840710</v>
      </c>
      <c r="B236" s="109" t="str">
        <f t="shared" si="97"/>
        <v>710</v>
      </c>
      <c r="C236" s="109" t="str">
        <f t="shared" si="108"/>
        <v>817840</v>
      </c>
      <c r="D236" s="93" t="s">
        <v>551</v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>
        <f>VLOOKUP(A:A,'[1]דוח כספי 31.10'!A:J,9,0)</f>
        <v>0</v>
      </c>
      <c r="P236" s="95">
        <f>VLOOKUP(A:A,'[1]דוח כספי 31.10'!A:D,4,0)</f>
        <v>0</v>
      </c>
      <c r="Q236" s="95">
        <f t="shared" si="110"/>
        <v>0</v>
      </c>
      <c r="R236" s="200"/>
      <c r="S236" s="97"/>
      <c r="T236" s="91"/>
      <c r="U236" s="85"/>
      <c r="V236" s="98"/>
      <c r="W236" s="85"/>
      <c r="X236" s="85"/>
      <c r="Y236" s="85"/>
      <c r="Z236" s="85"/>
      <c r="AA236" s="85"/>
      <c r="AB236" s="85"/>
      <c r="AC236" s="83">
        <f t="shared" si="109"/>
        <v>0</v>
      </c>
    </row>
    <row r="237" spans="1:30" ht="15" customHeight="1">
      <c r="A237" s="93">
        <v>1817880810</v>
      </c>
      <c r="B237" s="109" t="str">
        <f t="shared" si="97"/>
        <v>810</v>
      </c>
      <c r="C237" s="109" t="str">
        <f t="shared" si="108"/>
        <v>817880</v>
      </c>
      <c r="D237" s="93" t="s">
        <v>552</v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>
        <f>VLOOKUP(A:A,'[1]דוח כספי 31.10'!A:J,9,0)</f>
        <v>0</v>
      </c>
      <c r="P237" s="95">
        <f>VLOOKUP(A:A,'[1]דוח כספי 31.10'!A:D,4,0)</f>
        <v>0</v>
      </c>
      <c r="Q237" s="95">
        <f t="shared" si="110"/>
        <v>0</v>
      </c>
      <c r="R237" s="200"/>
      <c r="S237" s="97"/>
      <c r="T237" s="91"/>
      <c r="U237" s="85"/>
      <c r="V237" s="98"/>
      <c r="W237" s="85"/>
      <c r="X237" s="85"/>
      <c r="Y237" s="85"/>
      <c r="Z237" s="85"/>
      <c r="AA237" s="85"/>
      <c r="AB237" s="85"/>
      <c r="AC237" s="83">
        <f t="shared" si="109"/>
        <v>0</v>
      </c>
    </row>
    <row r="238" spans="1:30" ht="15" customHeight="1">
      <c r="A238" s="93">
        <v>1817900750</v>
      </c>
      <c r="B238" s="109" t="str">
        <f t="shared" si="97"/>
        <v>750</v>
      </c>
      <c r="C238" s="109" t="str">
        <f t="shared" si="108"/>
        <v>817900</v>
      </c>
      <c r="D238" s="93" t="s">
        <v>553</v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>
        <f>VLOOKUP(A:A,'[1]דוח כספי 31.10'!A:J,9,0)</f>
        <v>606500</v>
      </c>
      <c r="P238" s="95">
        <f>VLOOKUP(A:A,'[1]דוח כספי 31.10'!A:D,4,0)</f>
        <v>1771153.62</v>
      </c>
      <c r="Q238" s="95">
        <v>2362000</v>
      </c>
      <c r="R238" s="200"/>
      <c r="S238" s="97"/>
      <c r="T238" s="91"/>
      <c r="U238" s="85"/>
      <c r="V238" s="98"/>
      <c r="W238" s="85"/>
      <c r="X238" s="85"/>
      <c r="Y238" s="85"/>
      <c r="Z238" s="85"/>
      <c r="AA238" s="85"/>
      <c r="AB238" s="85"/>
      <c r="AC238" s="83">
        <f t="shared" si="109"/>
        <v>-1164653.6200000001</v>
      </c>
    </row>
    <row r="239" spans="1:30" ht="15" customHeight="1">
      <c r="A239" s="93">
        <v>1817900810</v>
      </c>
      <c r="B239" s="109" t="str">
        <f t="shared" si="97"/>
        <v>810</v>
      </c>
      <c r="C239" s="109" t="str">
        <f t="shared" si="108"/>
        <v>817900</v>
      </c>
      <c r="D239" s="93" t="s">
        <v>553</v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>
        <f>VLOOKUP(A:A,'[1]דוח כספי 31.10'!A:J,9,0)</f>
        <v>606500</v>
      </c>
      <c r="P239" s="95">
        <f>VLOOKUP(A:A,'[1]דוח כספי 31.10'!A:D,4,0)</f>
        <v>0</v>
      </c>
      <c r="Q239" s="95">
        <f t="shared" si="110"/>
        <v>0</v>
      </c>
      <c r="R239" s="200"/>
      <c r="S239" s="97"/>
      <c r="T239" s="91"/>
      <c r="U239" s="85"/>
      <c r="V239" s="98"/>
      <c r="W239" s="85"/>
      <c r="X239" s="85"/>
      <c r="Y239" s="85"/>
      <c r="Z239" s="85"/>
      <c r="AA239" s="85"/>
      <c r="AB239" s="85"/>
      <c r="AC239" s="83">
        <f t="shared" si="109"/>
        <v>606500</v>
      </c>
    </row>
    <row r="240" spans="1:30" ht="15" customHeight="1">
      <c r="A240" s="93">
        <v>1817900850</v>
      </c>
      <c r="B240" s="109" t="str">
        <f t="shared" si="97"/>
        <v>850</v>
      </c>
      <c r="C240" s="109" t="str">
        <f t="shared" si="108"/>
        <v>817900</v>
      </c>
      <c r="D240" s="93" t="s">
        <v>554</v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>
        <f>VLOOKUP(A:A,'[1]דוח כספי 31.10'!A:J,9,0)</f>
        <v>0</v>
      </c>
      <c r="P240" s="95">
        <f>VLOOKUP(A:A,'[1]דוח כספי 31.10'!A:D,4,0)</f>
        <v>0</v>
      </c>
      <c r="Q240" s="95">
        <f t="shared" si="110"/>
        <v>0</v>
      </c>
      <c r="R240" s="200"/>
      <c r="S240" s="97"/>
      <c r="T240" s="91"/>
      <c r="U240" s="85"/>
      <c r="V240" s="98"/>
      <c r="W240" s="85"/>
      <c r="X240" s="85"/>
      <c r="Y240" s="85"/>
      <c r="Z240" s="85"/>
      <c r="AA240" s="85"/>
      <c r="AB240" s="85"/>
      <c r="AC240" s="83">
        <f t="shared" si="109"/>
        <v>0</v>
      </c>
    </row>
    <row r="241" spans="1:30" ht="15.75" customHeight="1">
      <c r="A241" s="93">
        <v>1818000110</v>
      </c>
      <c r="B241" s="109" t="str">
        <f t="shared" si="97"/>
        <v>110</v>
      </c>
      <c r="C241" s="109" t="str">
        <f t="shared" si="108"/>
        <v>818000</v>
      </c>
      <c r="D241" s="93" t="s">
        <v>413</v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>
        <f>VLOOKUP(A:A,'[1]דוח כספי 31.10'!A:J,9,0)</f>
        <v>0</v>
      </c>
      <c r="P241" s="95">
        <f>VLOOKUP(A:A,'[1]דוח כספי 31.10'!A:D,4,0)</f>
        <v>0</v>
      </c>
      <c r="Q241" s="95">
        <f t="shared" ref="Q241" si="111">P241/9*12</f>
        <v>0</v>
      </c>
      <c r="R241" s="200"/>
      <c r="S241" s="97"/>
      <c r="T241" s="91"/>
      <c r="U241" s="85"/>
      <c r="V241" s="98"/>
      <c r="W241" s="85"/>
      <c r="X241" s="85"/>
      <c r="Y241" s="85"/>
      <c r="Z241" s="85"/>
      <c r="AA241" s="85"/>
      <c r="AB241" s="85"/>
      <c r="AC241"/>
      <c r="AD241">
        <v>0</v>
      </c>
    </row>
    <row r="242" spans="1:30" ht="15" customHeight="1">
      <c r="A242" s="206"/>
      <c r="B242" s="201"/>
      <c r="C242" s="201"/>
      <c r="D242" s="202" t="s">
        <v>555</v>
      </c>
      <c r="E242" s="203" t="e">
        <f>SUM(#REF!)</f>
        <v>#REF!</v>
      </c>
      <c r="F242" s="203" t="e">
        <f>SUM(#REF!)</f>
        <v>#REF!</v>
      </c>
      <c r="G242" s="203" t="e">
        <f>SUM(#REF!)</f>
        <v>#REF!</v>
      </c>
      <c r="H242" s="203" t="e">
        <f>SUM(#REF!)</f>
        <v>#REF!</v>
      </c>
      <c r="I242" s="203" t="e">
        <f>SUM(#REF!)</f>
        <v>#REF!</v>
      </c>
      <c r="J242" s="203" t="e">
        <f>SUM(#REF!)</f>
        <v>#REF!</v>
      </c>
      <c r="K242" s="203" t="e">
        <f>SUM(#REF!)</f>
        <v>#REF!</v>
      </c>
      <c r="L242" s="203" t="e">
        <f>SUM(#REF!)</f>
        <v>#REF!</v>
      </c>
      <c r="M242" s="203" t="e">
        <f>SUM(#REF!)</f>
        <v>#REF!</v>
      </c>
      <c r="N242" s="203" t="e">
        <f>SUM(#REF!)</f>
        <v>#REF!</v>
      </c>
      <c r="O242" s="203">
        <f>SUM(O228:O241)</f>
        <v>3346000</v>
      </c>
      <c r="P242" s="203">
        <f t="shared" ref="P242:R242" si="112">SUM(P228:P241)</f>
        <v>3230404.9000000004</v>
      </c>
      <c r="Q242" s="203">
        <f t="shared" si="112"/>
        <v>4125000</v>
      </c>
      <c r="R242" s="203">
        <f t="shared" si="112"/>
        <v>0</v>
      </c>
      <c r="S242" s="205"/>
      <c r="T242" s="91"/>
      <c r="U242" s="85">
        <f>IF(ISBLANK(A242),1,--OR(K242&gt;1,L242&gt;1,M242&gt;1))</f>
        <v>1</v>
      </c>
      <c r="V242" s="98">
        <v>0</v>
      </c>
      <c r="W242" s="85"/>
      <c r="X242" s="85"/>
      <c r="Y242" s="85"/>
      <c r="Z242" s="85"/>
      <c r="AA242" s="85"/>
      <c r="AB242" s="85"/>
      <c r="AC242" s="83">
        <f t="shared" ref="AC242:AC250" si="113">O242-P242</f>
        <v>115595.09999999963</v>
      </c>
      <c r="AD242">
        <v>0</v>
      </c>
    </row>
    <row r="243" spans="1:30" ht="15" customHeight="1">
      <c r="A243" s="206"/>
      <c r="B243" s="211"/>
      <c r="C243" s="211"/>
      <c r="D243" s="212" t="s">
        <v>235</v>
      </c>
      <c r="E243" s="213" t="e">
        <f>E242+#REF!+E227+E216+#REF!+#REF!+#REF!+E167+E148+E136</f>
        <v>#REF!</v>
      </c>
      <c r="F243" s="213" t="e">
        <f>F242+#REF!+F227+#REF!+F216+#REF!+#REF!+#REF!+F167+F148+F136</f>
        <v>#REF!</v>
      </c>
      <c r="G243" s="213" t="e">
        <f>G242+#REF!+G227+#REF!+G216+#REF!+#REF!+#REF!+G167+G148+G136</f>
        <v>#REF!</v>
      </c>
      <c r="H243" s="213" t="e">
        <f>H242+#REF!+H227+#REF!+H216+#REF!+#REF!+#REF!+H167+H148+H136</f>
        <v>#REF!</v>
      </c>
      <c r="I243" s="213" t="e">
        <f>I242+#REF!+I227+#REF!+I216+#REF!+#REF!+#REF!+I167+I148+I136</f>
        <v>#REF!</v>
      </c>
      <c r="J243" s="213" t="e">
        <f>J242+#REF!+J227+#REF!+J216+#REF!+#REF!+#REF!+J167+J148+J136</f>
        <v>#REF!</v>
      </c>
      <c r="K243" s="213" t="e">
        <f>K242+#REF!+K227+K216+#REF!+#REF!+#REF!+K167+K148+K136</f>
        <v>#REF!</v>
      </c>
      <c r="L243" s="213" t="e">
        <f>L242+#REF!+L227+L216+#REF!+#REF!+#REF!+L167+L148+L136</f>
        <v>#REF!</v>
      </c>
      <c r="M243" s="213" t="e">
        <f>M242+#REF!+M227+M216+#REF!+#REF!+#REF!+M167+M148+M136</f>
        <v>#REF!</v>
      </c>
      <c r="N243" s="213" t="e">
        <f>N242+#REF!+N227+N216+#REF!+#REF!+#REF!+N167+N148+N136</f>
        <v>#REF!</v>
      </c>
      <c r="O243" s="213">
        <f>O242+O227+O221+O216+O178+O176+O172+O167+O148+O136</f>
        <v>29581000</v>
      </c>
      <c r="P243" s="213">
        <f t="shared" ref="P243:R243" si="114">P242+P227+P221+P216+P178+P176+P172+P167+P148+P136</f>
        <v>28340830.02</v>
      </c>
      <c r="Q243" s="213">
        <f t="shared" si="114"/>
        <v>36974000</v>
      </c>
      <c r="R243" s="213">
        <f t="shared" si="114"/>
        <v>0</v>
      </c>
      <c r="S243" s="214"/>
      <c r="T243" s="91"/>
      <c r="U243" s="85">
        <f>IF(ISBLANK(A243),1,--OR(K243&gt;1,L243&gt;1,M243&gt;1))</f>
        <v>1</v>
      </c>
      <c r="V243" s="98">
        <v>0</v>
      </c>
      <c r="W243" s="85"/>
      <c r="X243" s="85"/>
      <c r="Y243" s="85"/>
      <c r="Z243" s="85"/>
      <c r="AA243" s="85"/>
      <c r="AB243" s="85"/>
      <c r="AC243" s="83">
        <f t="shared" si="113"/>
        <v>1240169.9800000004</v>
      </c>
      <c r="AD243">
        <v>907000</v>
      </c>
    </row>
    <row r="244" spans="1:30" ht="15" customHeight="1">
      <c r="A244" s="197"/>
      <c r="B244" s="87" t="s">
        <v>236</v>
      </c>
      <c r="C244" s="87"/>
      <c r="D244" s="87"/>
      <c r="E244" s="87"/>
      <c r="F244" s="87"/>
      <c r="G244" s="87"/>
      <c r="H244" s="88"/>
      <c r="I244" s="95"/>
      <c r="J244" s="124"/>
      <c r="K244" s="124"/>
      <c r="L244" s="124"/>
      <c r="M244" s="124"/>
      <c r="N244" s="95">
        <v>0</v>
      </c>
      <c r="O244" s="124"/>
      <c r="P244" s="124"/>
      <c r="Q244" s="95">
        <f t="shared" ref="Q244:Q250" si="115">P244/10*12</f>
        <v>0</v>
      </c>
      <c r="R244" s="198"/>
      <c r="S244" s="90"/>
      <c r="T244" s="91"/>
      <c r="U244" s="85">
        <f>IF(ISBLANK(A244),1,--OR(K244&gt;1,L244&gt;1,M244&gt;1))</f>
        <v>1</v>
      </c>
      <c r="V244" s="98">
        <f t="shared" ref="V244" si="116">+P244-M244</f>
        <v>0</v>
      </c>
      <c r="W244" s="85"/>
      <c r="X244" s="85"/>
      <c r="Y244" s="85"/>
      <c r="Z244" s="85"/>
      <c r="AA244" s="85"/>
      <c r="AB244" s="85"/>
      <c r="AC244" s="83">
        <f t="shared" si="113"/>
        <v>0</v>
      </c>
    </row>
    <row r="245" spans="1:30" ht="15" customHeight="1">
      <c r="A245" s="93">
        <v>1821000110</v>
      </c>
      <c r="B245" s="109" t="s">
        <v>556</v>
      </c>
      <c r="C245" s="109">
        <v>821000</v>
      </c>
      <c r="D245" s="93" t="s">
        <v>353</v>
      </c>
      <c r="E245" s="95">
        <v>0</v>
      </c>
      <c r="F245" s="95">
        <v>0</v>
      </c>
      <c r="G245" s="95">
        <v>0</v>
      </c>
      <c r="H245" s="95"/>
      <c r="I245" s="95"/>
      <c r="J245" s="95"/>
      <c r="K245" s="95"/>
      <c r="L245" s="95"/>
      <c r="M245" s="95"/>
      <c r="N245" s="95"/>
      <c r="O245" s="95">
        <f>VLOOKUP(A:A,'[1]דוח כספי 31.10'!A:J,9,0)</f>
        <v>907000</v>
      </c>
      <c r="P245" s="95">
        <f>VLOOKUP(A:A,'[1]דוח כספי 31.10'!A:D,4,0)</f>
        <v>747560.88</v>
      </c>
      <c r="Q245" s="95">
        <v>970000</v>
      </c>
      <c r="R245" s="200"/>
      <c r="S245" s="97"/>
      <c r="T245" s="91"/>
      <c r="U245" s="85"/>
      <c r="V245" s="98"/>
      <c r="W245" s="85"/>
      <c r="X245" s="85"/>
      <c r="Y245" s="85"/>
      <c r="Z245" s="85"/>
      <c r="AA245" s="85"/>
      <c r="AB245" s="85"/>
      <c r="AC245" s="83">
        <f t="shared" si="113"/>
        <v>159439.12</v>
      </c>
      <c r="AD245">
        <v>0</v>
      </c>
    </row>
    <row r="246" spans="1:30" ht="15" customHeight="1">
      <c r="A246" s="93">
        <v>1822000510</v>
      </c>
      <c r="B246" s="109" t="str">
        <f t="shared" ref="B246:B283" si="117">MID(A246,8,3)</f>
        <v>510</v>
      </c>
      <c r="C246" s="109" t="str">
        <f t="shared" ref="C246:C268" si="118">MID(A246,2,6)</f>
        <v>822000</v>
      </c>
      <c r="D246" s="93" t="s">
        <v>557</v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>
        <f>VLOOKUP(A:A,'[1]דוח כספי 31.10'!A:J,9,0)</f>
        <v>182000</v>
      </c>
      <c r="P246" s="95">
        <f>VLOOKUP(A:A,'[1]דוח כספי 31.10'!A:D,4,0)</f>
        <v>70246.720000000001</v>
      </c>
      <c r="Q246" s="95">
        <v>85000</v>
      </c>
      <c r="R246" s="200"/>
      <c r="S246" s="97"/>
      <c r="T246" s="91"/>
      <c r="U246" s="85"/>
      <c r="V246" s="98"/>
      <c r="W246" s="85"/>
      <c r="X246" s="85"/>
      <c r="Y246" s="85"/>
      <c r="Z246" s="85"/>
      <c r="AA246" s="85"/>
      <c r="AB246" s="85"/>
    </row>
    <row r="247" spans="1:30" ht="15" customHeight="1">
      <c r="A247" s="93">
        <v>1822000650</v>
      </c>
      <c r="B247" s="109" t="str">
        <f t="shared" si="117"/>
        <v>650</v>
      </c>
      <c r="C247" s="109" t="str">
        <f t="shared" si="118"/>
        <v>822000</v>
      </c>
      <c r="D247" s="93" t="s">
        <v>558</v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>
        <f>VLOOKUP(A:A,'[1]דוח כספי 31.10'!A:J,9,0)</f>
        <v>0</v>
      </c>
      <c r="P247" s="95">
        <f>VLOOKUP(A:A,'[1]דוח כספי 31.10'!A:D,4,0)</f>
        <v>486208.53</v>
      </c>
      <c r="Q247" s="95">
        <v>486000</v>
      </c>
      <c r="R247" s="200"/>
      <c r="S247" s="97"/>
      <c r="T247" s="91"/>
      <c r="U247" s="85"/>
      <c r="V247" s="98"/>
      <c r="W247" s="85"/>
      <c r="X247" s="85"/>
      <c r="Y247" s="85"/>
      <c r="Z247" s="85"/>
      <c r="AA247" s="85"/>
      <c r="AB247" s="85"/>
      <c r="AC247" s="83">
        <f t="shared" si="113"/>
        <v>-486208.53</v>
      </c>
      <c r="AD247">
        <v>0</v>
      </c>
    </row>
    <row r="248" spans="1:30" ht="15" customHeight="1">
      <c r="A248" s="93">
        <v>1822000750</v>
      </c>
      <c r="B248" s="109" t="str">
        <f t="shared" si="117"/>
        <v>750</v>
      </c>
      <c r="C248" s="109" t="str">
        <f t="shared" si="118"/>
        <v>822000</v>
      </c>
      <c r="D248" s="93" t="s">
        <v>560</v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>
        <f>VLOOKUP(A:A,'[1]דוח כספי 31.10'!A:J,9,0)</f>
        <v>0</v>
      </c>
      <c r="P248" s="95">
        <f>VLOOKUP(A:A,'[1]דוח כספי 31.10'!A:D,4,0)</f>
        <v>0</v>
      </c>
      <c r="Q248" s="95">
        <f t="shared" si="115"/>
        <v>0</v>
      </c>
      <c r="R248" s="200"/>
      <c r="S248" s="97"/>
      <c r="T248" s="91"/>
      <c r="U248" s="85"/>
      <c r="V248" s="98"/>
      <c r="W248" s="85"/>
      <c r="X248" s="85"/>
      <c r="Y248" s="85"/>
      <c r="Z248" s="85"/>
      <c r="AA248" s="85"/>
      <c r="AB248" s="85"/>
      <c r="AC248" s="83">
        <f t="shared" si="113"/>
        <v>0</v>
      </c>
      <c r="AD248">
        <v>0</v>
      </c>
    </row>
    <row r="249" spans="1:30" ht="15" customHeight="1">
      <c r="A249" s="93">
        <v>1822000810</v>
      </c>
      <c r="B249" s="109" t="str">
        <f t="shared" si="117"/>
        <v>810</v>
      </c>
      <c r="C249" s="109" t="str">
        <f t="shared" si="118"/>
        <v>822000</v>
      </c>
      <c r="D249" s="93" t="s">
        <v>561</v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>
        <f>VLOOKUP(A:A,'[1]דוח כספי 31.10'!A:J,9,0)</f>
        <v>0</v>
      </c>
      <c r="P249" s="95">
        <f>VLOOKUP(A:A,'[1]דוח כספי 31.10'!A:D,4,0)</f>
        <v>77508</v>
      </c>
      <c r="Q249" s="95">
        <v>93000</v>
      </c>
      <c r="R249" s="200"/>
      <c r="S249" s="97"/>
      <c r="T249" s="91"/>
      <c r="U249" s="85"/>
      <c r="V249" s="98"/>
      <c r="W249" s="85"/>
      <c r="X249" s="85"/>
      <c r="Y249" s="85"/>
      <c r="Z249" s="85"/>
      <c r="AA249" s="85"/>
      <c r="AB249" s="85"/>
      <c r="AC249" s="83">
        <f t="shared" si="113"/>
        <v>-77508</v>
      </c>
      <c r="AD249">
        <v>0</v>
      </c>
    </row>
    <row r="250" spans="1:30" ht="15" customHeight="1">
      <c r="A250" s="93">
        <v>1822000930</v>
      </c>
      <c r="B250" s="109" t="str">
        <f t="shared" si="117"/>
        <v>930</v>
      </c>
      <c r="C250" s="109" t="str">
        <f t="shared" si="118"/>
        <v>822000</v>
      </c>
      <c r="D250" s="93" t="s">
        <v>390</v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>
        <f>VLOOKUP(A:A,'[1]דוח כספי 31.10'!A:J,9,0)</f>
        <v>0</v>
      </c>
      <c r="P250" s="95">
        <f>VLOOKUP(A:A,'[1]דוח כספי 31.10'!A:D,4,0)</f>
        <v>0</v>
      </c>
      <c r="Q250" s="95">
        <f t="shared" si="115"/>
        <v>0</v>
      </c>
      <c r="R250" s="200"/>
      <c r="S250" s="97"/>
      <c r="T250" s="91"/>
      <c r="U250" s="85"/>
      <c r="V250" s="98"/>
      <c r="W250" s="85"/>
      <c r="X250" s="85"/>
      <c r="Y250" s="85"/>
      <c r="Z250" s="85"/>
      <c r="AA250" s="85"/>
      <c r="AB250" s="85"/>
      <c r="AC250" s="83">
        <f t="shared" si="113"/>
        <v>0</v>
      </c>
      <c r="AD250">
        <v>0</v>
      </c>
    </row>
    <row r="251" spans="1:30" ht="20.25" customHeight="1">
      <c r="A251" s="93">
        <v>1823000110</v>
      </c>
      <c r="B251" s="109" t="str">
        <f t="shared" si="117"/>
        <v>110</v>
      </c>
      <c r="C251" s="109" t="str">
        <f t="shared" si="118"/>
        <v>823000</v>
      </c>
      <c r="D251" s="93" t="s">
        <v>353</v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>
        <f>VLOOKUP(A:A,'[1]דוח כספי 31.10'!A:J,9,0)</f>
        <v>0</v>
      </c>
      <c r="P251" s="95">
        <f>VLOOKUP(A:A,'[1]דוח כספי 31.10'!A:D,4,0)</f>
        <v>0</v>
      </c>
      <c r="Q251" s="95">
        <f t="shared" ref="Q251:Q279" si="119">P251/9*12</f>
        <v>0</v>
      </c>
      <c r="R251" s="200"/>
      <c r="S251" s="97"/>
      <c r="T251" s="91"/>
      <c r="U251" s="85"/>
      <c r="V251" s="98"/>
      <c r="W251" s="85"/>
      <c r="X251" s="85"/>
      <c r="Y251" s="85"/>
      <c r="Z251" s="85"/>
      <c r="AA251" s="85"/>
      <c r="AB251" s="85"/>
      <c r="AC251"/>
    </row>
    <row r="252" spans="1:30" ht="15" customHeight="1">
      <c r="A252" s="93">
        <v>1823000431</v>
      </c>
      <c r="B252" s="109" t="str">
        <f t="shared" si="117"/>
        <v>431</v>
      </c>
      <c r="C252" s="109" t="str">
        <f t="shared" si="118"/>
        <v>823000</v>
      </c>
      <c r="D252" s="93" t="s">
        <v>562</v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>
        <f>VLOOKUP(A:A,'[1]דוח כספי 31.10'!A:J,9,0)</f>
        <v>13000</v>
      </c>
      <c r="P252" s="95">
        <f>VLOOKUP(A:A,'[1]דוח כספי 31.10'!A:D,4,0)</f>
        <v>8960.73</v>
      </c>
      <c r="Q252" s="95">
        <v>11000</v>
      </c>
      <c r="R252" s="200"/>
      <c r="S252" s="97"/>
      <c r="T252" s="91"/>
      <c r="U252" s="85"/>
      <c r="V252" s="98"/>
      <c r="W252" s="85"/>
      <c r="X252" s="85"/>
      <c r="Y252" s="85"/>
      <c r="Z252" s="85"/>
      <c r="AA252" s="85"/>
      <c r="AB252" s="85"/>
      <c r="AC252" s="83">
        <f t="shared" ref="AC252:AC256" si="120">O252-P252</f>
        <v>4039.2700000000004</v>
      </c>
    </row>
    <row r="253" spans="1:30" ht="15" customHeight="1">
      <c r="A253" s="93">
        <v>1823000560</v>
      </c>
      <c r="B253" s="109" t="str">
        <f t="shared" si="117"/>
        <v>560</v>
      </c>
      <c r="C253" s="109" t="str">
        <f t="shared" si="118"/>
        <v>823000</v>
      </c>
      <c r="D253" s="93" t="s">
        <v>387</v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>
        <f>VLOOKUP(A:A,'[1]דוח כספי 31.10'!A:J,9,0)</f>
        <v>10000</v>
      </c>
      <c r="P253" s="95">
        <f>VLOOKUP(A:A,'[1]דוח כספי 31.10'!A:D,4,0)</f>
        <v>5160</v>
      </c>
      <c r="Q253" s="95">
        <v>6000</v>
      </c>
      <c r="R253" s="200"/>
      <c r="S253" s="97"/>
      <c r="T253" s="91"/>
      <c r="U253" s="85"/>
      <c r="V253" s="98"/>
      <c r="W253" s="85"/>
      <c r="X253" s="85"/>
      <c r="Y253" s="85"/>
      <c r="Z253" s="85"/>
      <c r="AA253" s="85"/>
      <c r="AB253" s="85"/>
      <c r="AC253" s="83">
        <f t="shared" si="120"/>
        <v>4840</v>
      </c>
    </row>
    <row r="254" spans="1:30" ht="15" customHeight="1">
      <c r="A254" s="93">
        <v>1823000750</v>
      </c>
      <c r="B254" s="109" t="str">
        <f t="shared" si="117"/>
        <v>750</v>
      </c>
      <c r="C254" s="109" t="str">
        <f t="shared" si="118"/>
        <v>823000</v>
      </c>
      <c r="D254" s="93" t="s">
        <v>563</v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>
        <f>VLOOKUP(A:A,'[1]דוח כספי 31.10'!A:J,9,0)</f>
        <v>0</v>
      </c>
      <c r="P254" s="95">
        <f>VLOOKUP(A:A,'[1]דוח כספי 31.10'!A:D,4,0)</f>
        <v>23925.7</v>
      </c>
      <c r="Q254" s="95">
        <v>29000</v>
      </c>
      <c r="R254" s="200"/>
      <c r="S254" s="97"/>
      <c r="T254" s="91"/>
      <c r="U254" s="85"/>
      <c r="V254" s="98"/>
      <c r="W254" s="85"/>
      <c r="X254" s="85"/>
      <c r="Y254" s="85"/>
      <c r="Z254" s="85"/>
      <c r="AA254" s="85"/>
      <c r="AB254" s="85"/>
      <c r="AC254" s="83">
        <f t="shared" si="120"/>
        <v>-23925.7</v>
      </c>
    </row>
    <row r="255" spans="1:30" ht="15" customHeight="1">
      <c r="A255" s="93">
        <v>1823000930</v>
      </c>
      <c r="B255" s="109" t="str">
        <f t="shared" si="117"/>
        <v>930</v>
      </c>
      <c r="C255" s="109" t="str">
        <f t="shared" si="118"/>
        <v>823000</v>
      </c>
      <c r="D255" s="93" t="s">
        <v>564</v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>
        <f>VLOOKUP(A:A,'[1]דוח כספי 31.10'!A:J,9,0)</f>
        <v>0</v>
      </c>
      <c r="P255" s="95">
        <f>VLOOKUP(A:A,'[1]דוח כספי 31.10'!A:D,4,0)</f>
        <v>0</v>
      </c>
      <c r="Q255" s="95">
        <f t="shared" ref="Q255:Q256" si="121">P255/10*12</f>
        <v>0</v>
      </c>
      <c r="R255" s="200"/>
      <c r="S255" s="97"/>
      <c r="T255" s="91"/>
      <c r="U255" s="85"/>
      <c r="V255" s="98"/>
      <c r="W255" s="85"/>
      <c r="X255" s="85"/>
      <c r="Y255" s="85"/>
      <c r="Z255" s="85"/>
      <c r="AA255" s="85"/>
      <c r="AB255" s="85"/>
      <c r="AC255" s="83">
        <f t="shared" si="120"/>
        <v>0</v>
      </c>
    </row>
    <row r="256" spans="1:30" ht="31.5" customHeight="1">
      <c r="A256" s="93">
        <v>1824000780</v>
      </c>
      <c r="B256" s="109" t="str">
        <f t="shared" si="117"/>
        <v>780</v>
      </c>
      <c r="C256" s="109" t="str">
        <f t="shared" si="118"/>
        <v>824000</v>
      </c>
      <c r="D256" s="93" t="s">
        <v>565</v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>
        <f>VLOOKUP(A:A,'[1]דוח כספי 31.10'!A:J,9,0)</f>
        <v>0</v>
      </c>
      <c r="P256" s="95">
        <f>VLOOKUP(A:A,'[1]דוח כספי 31.10'!A:D,4,0)</f>
        <v>0</v>
      </c>
      <c r="Q256" s="95">
        <f t="shared" si="121"/>
        <v>0</v>
      </c>
      <c r="R256" s="200"/>
      <c r="S256" s="97"/>
      <c r="T256" s="91"/>
      <c r="U256" s="85"/>
      <c r="V256" s="98"/>
      <c r="W256" s="85"/>
      <c r="X256" s="85"/>
      <c r="Y256" s="85"/>
      <c r="Z256" s="85"/>
      <c r="AA256" s="85"/>
      <c r="AB256" s="85"/>
      <c r="AC256" s="83">
        <f t="shared" si="120"/>
        <v>0</v>
      </c>
    </row>
    <row r="257" spans="1:30" ht="18.75" customHeight="1">
      <c r="A257" s="93">
        <v>1828000110</v>
      </c>
      <c r="B257" s="109" t="str">
        <f t="shared" si="117"/>
        <v>110</v>
      </c>
      <c r="C257" s="109" t="str">
        <f t="shared" si="118"/>
        <v>828000</v>
      </c>
      <c r="D257" s="93" t="s">
        <v>413</v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>
        <f>VLOOKUP(A:A,'[1]דוח כספי 31.10'!A:J,9,0)</f>
        <v>135000</v>
      </c>
      <c r="P257" s="95">
        <f>VLOOKUP(A:A,'[1]דוח כספי 31.10'!A:D,4,0)</f>
        <v>130966.46</v>
      </c>
      <c r="Q257" s="95">
        <v>175000</v>
      </c>
      <c r="R257" s="200"/>
      <c r="S257" s="97"/>
      <c r="T257" s="91"/>
      <c r="U257" s="85"/>
      <c r="V257" s="98"/>
      <c r="W257" s="85"/>
      <c r="X257" s="85"/>
      <c r="Y257" s="85"/>
      <c r="Z257" s="85"/>
      <c r="AA257" s="85"/>
      <c r="AB257" s="85"/>
      <c r="AC257"/>
    </row>
    <row r="258" spans="1:30" ht="15" customHeight="1">
      <c r="A258" s="93">
        <v>1828100110</v>
      </c>
      <c r="B258" s="109" t="str">
        <f t="shared" si="117"/>
        <v>110</v>
      </c>
      <c r="C258" s="109" t="str">
        <f t="shared" si="118"/>
        <v>828100</v>
      </c>
      <c r="D258" s="93" t="s">
        <v>566</v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>
        <f>VLOOKUP(A:A,'[1]דוח כספי 31.10'!A:J,9,0)</f>
        <v>245000</v>
      </c>
      <c r="P258" s="95">
        <f>VLOOKUP(A:A,'[1]דוח כספי 31.10'!A:D,4,0)</f>
        <v>187045.84</v>
      </c>
      <c r="Q258" s="95">
        <v>260000</v>
      </c>
      <c r="R258" s="200"/>
      <c r="S258" s="97"/>
      <c r="T258" s="91"/>
      <c r="U258" s="85"/>
      <c r="V258" s="98"/>
      <c r="W258" s="85"/>
      <c r="X258" s="85"/>
      <c r="Y258" s="85"/>
      <c r="Z258" s="85"/>
      <c r="AA258" s="85"/>
      <c r="AB258" s="85"/>
      <c r="AC258"/>
    </row>
    <row r="259" spans="1:30" ht="33" customHeight="1">
      <c r="A259" s="93">
        <v>1828100750</v>
      </c>
      <c r="B259" s="109" t="str">
        <f t="shared" si="117"/>
        <v>750</v>
      </c>
      <c r="C259" s="109" t="str">
        <f t="shared" si="118"/>
        <v>828100</v>
      </c>
      <c r="D259" s="93" t="s">
        <v>567</v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>
        <f>VLOOKUP(A:A,'[1]דוח כספי 31.10'!A:J,9,0)</f>
        <v>0</v>
      </c>
      <c r="P259" s="95">
        <f>VLOOKUP(A:A,'[1]דוח כספי 31.10'!A:D,4,0)</f>
        <v>42925</v>
      </c>
      <c r="Q259" s="95">
        <v>60000</v>
      </c>
      <c r="R259" s="200"/>
      <c r="S259" s="97"/>
      <c r="T259" s="91"/>
      <c r="U259" s="85"/>
      <c r="V259" s="98"/>
      <c r="W259" s="85"/>
      <c r="X259" s="85"/>
      <c r="Y259" s="85"/>
      <c r="Z259" s="85"/>
      <c r="AA259" s="85"/>
      <c r="AB259" s="85"/>
      <c r="AC259" s="83">
        <f>O259-P259</f>
        <v>-42925</v>
      </c>
    </row>
    <row r="260" spans="1:30" ht="16.5" customHeight="1">
      <c r="A260" s="93">
        <v>1828200110</v>
      </c>
      <c r="B260" s="109" t="str">
        <f t="shared" si="117"/>
        <v>110</v>
      </c>
      <c r="C260" s="109" t="str">
        <f t="shared" si="118"/>
        <v>828200</v>
      </c>
      <c r="D260" s="93" t="s">
        <v>568</v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>
        <f>VLOOKUP(A:A,'[1]דוח כספי 31.10'!A:J,9,0)</f>
        <v>344000</v>
      </c>
      <c r="P260" s="95">
        <f>VLOOKUP(A:A,'[1]דוח כספי 31.10'!A:D,4,0)</f>
        <v>253588.81</v>
      </c>
      <c r="Q260" s="95">
        <v>315000</v>
      </c>
      <c r="R260" s="200"/>
      <c r="S260" s="97"/>
      <c r="T260" s="91"/>
      <c r="U260" s="85"/>
      <c r="V260" s="98"/>
      <c r="W260" s="85"/>
      <c r="X260" s="85"/>
      <c r="Y260" s="85"/>
      <c r="Z260" s="85"/>
      <c r="AA260" s="85"/>
      <c r="AB260" s="85"/>
      <c r="AC260"/>
    </row>
    <row r="261" spans="1:30" ht="15" customHeight="1">
      <c r="A261" s="93">
        <v>1828200810</v>
      </c>
      <c r="B261" s="109" t="str">
        <f t="shared" si="117"/>
        <v>810</v>
      </c>
      <c r="C261" s="109" t="str">
        <f t="shared" si="118"/>
        <v>828200</v>
      </c>
      <c r="D261" s="93" t="s">
        <v>569</v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>
        <f>VLOOKUP(A:A,'[1]דוח כספי 31.10'!A:J,9,0)</f>
        <v>17000</v>
      </c>
      <c r="P261" s="95">
        <f>VLOOKUP(A:A,'[1]דוח כספי 31.10'!A:D,4,0)</f>
        <v>8945</v>
      </c>
      <c r="Q261" s="95">
        <v>11000</v>
      </c>
      <c r="R261" s="200"/>
      <c r="S261" s="97"/>
      <c r="T261" s="91"/>
      <c r="U261" s="85"/>
      <c r="V261" s="98"/>
      <c r="W261" s="85"/>
      <c r="X261" s="85"/>
      <c r="Y261" s="85"/>
      <c r="Z261" s="85"/>
      <c r="AA261" s="85"/>
      <c r="AB261" s="85"/>
      <c r="AC261" s="83">
        <f>O261-P261</f>
        <v>8055</v>
      </c>
    </row>
    <row r="262" spans="1:30" ht="16.5" customHeight="1">
      <c r="A262" s="93">
        <v>1828210110</v>
      </c>
      <c r="B262" s="109" t="str">
        <f t="shared" si="117"/>
        <v>110</v>
      </c>
      <c r="C262" s="109" t="str">
        <f t="shared" si="118"/>
        <v>828210</v>
      </c>
      <c r="D262" s="93" t="s">
        <v>570</v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>
        <f>VLOOKUP(A:A,'[1]דוח כספי 31.10'!A:J,9,0)</f>
        <v>101000</v>
      </c>
      <c r="P262" s="95">
        <f>VLOOKUP(A:A,'[1]דוח כספי 31.10'!A:D,4,0)</f>
        <v>74694.78</v>
      </c>
      <c r="Q262" s="95">
        <v>100000</v>
      </c>
      <c r="R262" s="200"/>
      <c r="S262" s="97"/>
      <c r="T262" s="91"/>
      <c r="U262" s="85"/>
      <c r="V262" s="98"/>
      <c r="W262" s="85"/>
      <c r="X262" s="85"/>
      <c r="Y262" s="85"/>
      <c r="Z262" s="85"/>
      <c r="AA262" s="85"/>
      <c r="AB262" s="85"/>
      <c r="AC262"/>
    </row>
    <row r="263" spans="1:30" ht="15" customHeight="1">
      <c r="A263" s="93">
        <v>1828210810</v>
      </c>
      <c r="B263" s="109" t="str">
        <f t="shared" si="117"/>
        <v>810</v>
      </c>
      <c r="C263" s="109" t="str">
        <f t="shared" si="118"/>
        <v>828210</v>
      </c>
      <c r="D263" s="93" t="s">
        <v>571</v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>
        <f>VLOOKUP(A:A,'[1]דוח כספי 31.10'!A:J,9,0)</f>
        <v>105000</v>
      </c>
      <c r="P263" s="95">
        <f>VLOOKUP(A:A,'[1]דוח כספי 31.10'!A:D,4,0)</f>
        <v>255291</v>
      </c>
      <c r="Q263" s="95">
        <v>300000</v>
      </c>
      <c r="R263" s="200"/>
      <c r="S263" s="97"/>
      <c r="T263" s="91"/>
      <c r="U263" s="85"/>
      <c r="V263" s="98"/>
      <c r="W263" s="85"/>
      <c r="X263" s="85"/>
      <c r="Y263" s="85"/>
      <c r="Z263" s="85"/>
      <c r="AA263" s="85"/>
      <c r="AB263" s="85"/>
      <c r="AC263" s="83">
        <f t="shared" ref="AC263:AC265" si="122">O263-P263</f>
        <v>-150291</v>
      </c>
    </row>
    <row r="264" spans="1:30" ht="15" customHeight="1">
      <c r="A264" s="93">
        <v>1828220650</v>
      </c>
      <c r="B264" s="109" t="str">
        <f t="shared" si="117"/>
        <v>650</v>
      </c>
      <c r="C264" s="109" t="str">
        <f t="shared" si="118"/>
        <v>828220</v>
      </c>
      <c r="D264" s="93" t="s">
        <v>572</v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>
        <f>VLOOKUP(A:A,'[1]דוח כספי 31.10'!A:J,9,0)</f>
        <v>0</v>
      </c>
      <c r="P264" s="95">
        <f>VLOOKUP(A:A,'[1]דוח כספי 31.10'!A:D,4,0)</f>
        <v>3021.09</v>
      </c>
      <c r="Q264" s="95">
        <v>4000</v>
      </c>
      <c r="R264" s="200"/>
      <c r="S264" s="97"/>
      <c r="T264" s="91"/>
      <c r="U264" s="85"/>
      <c r="V264" s="98"/>
      <c r="W264" s="85"/>
      <c r="X264" s="85"/>
      <c r="Y264" s="85"/>
      <c r="Z264" s="85"/>
      <c r="AA264" s="85"/>
      <c r="AB264" s="85"/>
      <c r="AC264" s="83">
        <f t="shared" si="122"/>
        <v>-3021.09</v>
      </c>
    </row>
    <row r="265" spans="1:30" ht="15" customHeight="1">
      <c r="A265" s="93">
        <v>1828220810</v>
      </c>
      <c r="B265" s="109" t="str">
        <f t="shared" si="117"/>
        <v>810</v>
      </c>
      <c r="C265" s="109" t="str">
        <f t="shared" si="118"/>
        <v>828220</v>
      </c>
      <c r="D265" s="93" t="s">
        <v>573</v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>
        <f>VLOOKUP(A:A,'[1]דוח כספי 31.10'!A:J,9,0)</f>
        <v>0</v>
      </c>
      <c r="P265" s="95"/>
      <c r="Q265" s="95"/>
      <c r="R265" s="200"/>
      <c r="S265" s="97"/>
      <c r="T265" s="91"/>
      <c r="U265" s="85"/>
      <c r="V265" s="98"/>
      <c r="W265" s="85"/>
      <c r="X265" s="85"/>
      <c r="Y265" s="85"/>
      <c r="Z265" s="85"/>
      <c r="AA265" s="85"/>
      <c r="AB265" s="85"/>
      <c r="AC265" s="83">
        <f t="shared" si="122"/>
        <v>0</v>
      </c>
    </row>
    <row r="266" spans="1:30" ht="19.5" customHeight="1">
      <c r="A266" s="93">
        <v>1828226110</v>
      </c>
      <c r="B266" s="109" t="str">
        <f t="shared" si="117"/>
        <v>110</v>
      </c>
      <c r="C266" s="109" t="str">
        <f t="shared" si="118"/>
        <v>828226</v>
      </c>
      <c r="D266" s="93" t="s">
        <v>574</v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>
        <f>VLOOKUP(A:A,'[1]דוח כספי 31.10'!A:J,9,0)</f>
        <v>0</v>
      </c>
      <c r="P266" s="95">
        <f>VLOOKUP(A:A,'[1]דוח כספי 31.10'!A:D,4,0)</f>
        <v>66531.06</v>
      </c>
      <c r="Q266" s="95">
        <v>130000</v>
      </c>
      <c r="R266" s="200"/>
      <c r="S266" s="97"/>
      <c r="T266" s="91"/>
      <c r="U266" s="85"/>
      <c r="V266" s="98"/>
      <c r="W266" s="85"/>
      <c r="X266" s="85"/>
      <c r="Y266" s="85"/>
      <c r="Z266" s="85"/>
      <c r="AA266" s="85"/>
      <c r="AB266" s="85"/>
      <c r="AC266"/>
    </row>
    <row r="267" spans="1:30" ht="15" customHeight="1">
      <c r="A267" s="93">
        <v>1828310810</v>
      </c>
      <c r="B267" s="109" t="str">
        <f t="shared" si="117"/>
        <v>810</v>
      </c>
      <c r="C267" s="109" t="str">
        <f t="shared" si="118"/>
        <v>828310</v>
      </c>
      <c r="D267" s="93" t="s">
        <v>575</v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>
        <f>VLOOKUP(A:A,'[1]דוח כספי 31.10'!A:J,9,0)</f>
        <v>300000</v>
      </c>
      <c r="P267" s="95">
        <f>VLOOKUP(A:A,'[1]דוח כספי 31.10'!A:D,4,0)</f>
        <v>357000</v>
      </c>
      <c r="Q267" s="95">
        <v>357000</v>
      </c>
      <c r="R267" s="200"/>
      <c r="S267" s="97"/>
      <c r="T267" s="91"/>
      <c r="U267" s="85"/>
      <c r="V267" s="98"/>
      <c r="W267" s="85"/>
      <c r="X267" s="85"/>
      <c r="Y267" s="85"/>
      <c r="Z267" s="85"/>
      <c r="AA267" s="85"/>
      <c r="AB267" s="85"/>
      <c r="AC267" s="83">
        <f t="shared" ref="AC267:AC269" si="123">O267-P267</f>
        <v>-57000</v>
      </c>
    </row>
    <row r="268" spans="1:30" ht="15" customHeight="1">
      <c r="A268" s="93">
        <v>1828410810</v>
      </c>
      <c r="B268" s="109" t="str">
        <f t="shared" si="117"/>
        <v>810</v>
      </c>
      <c r="C268" s="109" t="str">
        <f t="shared" si="118"/>
        <v>828410</v>
      </c>
      <c r="D268" s="93" t="s">
        <v>523</v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>
        <f>VLOOKUP(A:A,'[1]דוח כספי 31.10'!A:J,9,0)</f>
        <v>67000</v>
      </c>
      <c r="P268" s="95">
        <f>VLOOKUP(A:A,'[1]דוח כספי 31.10'!A:D,4,0)</f>
        <v>34719</v>
      </c>
      <c r="Q268" s="95">
        <v>35000</v>
      </c>
      <c r="R268" s="200"/>
      <c r="S268" s="97"/>
      <c r="T268" s="91"/>
      <c r="U268" s="85"/>
      <c r="V268" s="98"/>
      <c r="W268" s="85"/>
      <c r="X268" s="85"/>
      <c r="Y268" s="85"/>
      <c r="Z268" s="85"/>
      <c r="AA268" s="85"/>
      <c r="AB268" s="85"/>
      <c r="AC268" s="83">
        <f t="shared" si="123"/>
        <v>32281</v>
      </c>
    </row>
    <row r="269" spans="1:30" ht="15" customHeight="1">
      <c r="A269" s="206"/>
      <c r="B269" s="201"/>
      <c r="C269" s="201"/>
      <c r="D269" s="202" t="s">
        <v>576</v>
      </c>
      <c r="E269" s="203" t="e">
        <f>SUM(#REF!)</f>
        <v>#REF!</v>
      </c>
      <c r="F269" s="203" t="e">
        <f>SUM(#REF!)</f>
        <v>#REF!</v>
      </c>
      <c r="G269" s="203" t="e">
        <f>SUM(#REF!)</f>
        <v>#REF!</v>
      </c>
      <c r="H269" s="203" t="e">
        <f>SUM(#REF!)</f>
        <v>#REF!</v>
      </c>
      <c r="I269" s="203" t="e">
        <f>SUM(#REF!)</f>
        <v>#REF!</v>
      </c>
      <c r="J269" s="203" t="e">
        <f>SUM(#REF!)</f>
        <v>#REF!</v>
      </c>
      <c r="K269" s="203" t="e">
        <f>SUM(#REF!)</f>
        <v>#REF!</v>
      </c>
      <c r="L269" s="203" t="e">
        <f>SUM(#REF!)</f>
        <v>#REF!</v>
      </c>
      <c r="M269" s="203" t="e">
        <f>SUM(#REF!)</f>
        <v>#REF!</v>
      </c>
      <c r="N269" s="203" t="e">
        <f>SUM(#REF!)</f>
        <v>#REF!</v>
      </c>
      <c r="O269" s="203">
        <f>SUM(O245:O268)</f>
        <v>2426000</v>
      </c>
      <c r="P269" s="203">
        <f t="shared" ref="P269:R269" si="124">SUM(P245:P268)</f>
        <v>2834298.5999999996</v>
      </c>
      <c r="Q269" s="203">
        <f t="shared" si="124"/>
        <v>3427000</v>
      </c>
      <c r="R269" s="203">
        <f t="shared" si="124"/>
        <v>0</v>
      </c>
      <c r="S269" s="205"/>
      <c r="T269" s="91"/>
      <c r="U269" s="85">
        <f>IF(ISBLANK(A269),1,--OR(K269&gt;1,L269&gt;1,M269&gt;1))</f>
        <v>1</v>
      </c>
      <c r="V269" s="98">
        <v>0</v>
      </c>
      <c r="W269" s="85"/>
      <c r="X269" s="85"/>
      <c r="Y269" s="85"/>
      <c r="Z269" s="85"/>
      <c r="AA269" s="85"/>
      <c r="AB269" s="85"/>
      <c r="AC269" s="83">
        <f t="shared" si="123"/>
        <v>-408298.59999999963</v>
      </c>
    </row>
    <row r="270" spans="1:30" ht="16.5" customHeight="1">
      <c r="A270" s="93">
        <v>1829000110</v>
      </c>
      <c r="B270" s="109" t="str">
        <f t="shared" si="117"/>
        <v>110</v>
      </c>
      <c r="C270" s="109" t="str">
        <f t="shared" ref="C270:C283" si="125">MID(A270,2,6)</f>
        <v>829000</v>
      </c>
      <c r="D270" s="93" t="s">
        <v>413</v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>
        <f>VLOOKUP(A:A,'[1]דוח כספי 31.10'!A:J,9,0)</f>
        <v>327000</v>
      </c>
      <c r="P270" s="95">
        <f>VLOOKUP(A:A,'[1]דוח כספי 31.10'!A:D,4,0)</f>
        <v>186106.87</v>
      </c>
      <c r="Q270" s="95">
        <v>260000</v>
      </c>
      <c r="R270" s="200"/>
      <c r="S270" s="97"/>
      <c r="T270" s="91"/>
      <c r="U270" s="85"/>
      <c r="V270" s="98"/>
      <c r="W270" s="85"/>
      <c r="X270" s="85"/>
      <c r="Y270" s="85"/>
      <c r="Z270" s="85"/>
      <c r="AA270" s="85"/>
      <c r="AB270" s="85"/>
      <c r="AC270"/>
    </row>
    <row r="271" spans="1:30" ht="15" customHeight="1">
      <c r="A271" s="93">
        <v>1829000540</v>
      </c>
      <c r="B271" s="109" t="str">
        <f t="shared" si="117"/>
        <v>540</v>
      </c>
      <c r="C271" s="109" t="str">
        <f t="shared" si="125"/>
        <v>829000</v>
      </c>
      <c r="D271" s="93" t="s">
        <v>438</v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>
        <f>VLOOKUP(A:A,'[1]דוח כספי 31.10'!A:J,9,0)</f>
        <v>0</v>
      </c>
      <c r="P271" s="95">
        <f>VLOOKUP(A:A,'[1]דוח כספי 31.10'!A:D,4,0)</f>
        <v>0</v>
      </c>
      <c r="Q271" s="95">
        <f t="shared" ref="Q271:Q277" si="126">P271/10*12</f>
        <v>0</v>
      </c>
      <c r="R271" s="200"/>
      <c r="S271" s="97"/>
      <c r="T271" s="91"/>
      <c r="U271" s="85"/>
      <c r="V271" s="98"/>
      <c r="W271" s="85"/>
      <c r="X271" s="85"/>
      <c r="Y271" s="85"/>
      <c r="Z271" s="85"/>
      <c r="AA271" s="85"/>
      <c r="AB271" s="85"/>
      <c r="AC271" s="83">
        <f t="shared" ref="AC271:AC278" si="127">O271-P271</f>
        <v>0</v>
      </c>
      <c r="AD271">
        <v>0</v>
      </c>
    </row>
    <row r="272" spans="1:30" ht="15" customHeight="1">
      <c r="A272" s="207">
        <v>1829100432</v>
      </c>
      <c r="B272" s="208" t="str">
        <f t="shared" si="117"/>
        <v>432</v>
      </c>
      <c r="C272" s="208" t="str">
        <f t="shared" si="125"/>
        <v>829100</v>
      </c>
      <c r="D272" s="207" t="s">
        <v>577</v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209">
        <f>VLOOKUP(A:A,'[1]דוח כספי 31.10'!A:J,9,0)</f>
        <v>0</v>
      </c>
      <c r="P272" s="95">
        <f>VLOOKUP(A:A,'[1]דוח כספי 31.10'!A:D,4,0)</f>
        <v>0</v>
      </c>
      <c r="Q272" s="209">
        <v>133500</v>
      </c>
      <c r="R272" s="200"/>
      <c r="S272" s="97"/>
      <c r="T272" s="91"/>
      <c r="U272" s="85"/>
      <c r="V272" s="98"/>
      <c r="W272" s="85"/>
      <c r="X272" s="85"/>
      <c r="Y272" s="85"/>
      <c r="Z272" s="85"/>
      <c r="AA272" s="85"/>
      <c r="AB272" s="85"/>
      <c r="AC272" s="83">
        <f t="shared" si="127"/>
        <v>0</v>
      </c>
    </row>
    <row r="273" spans="1:30" ht="15" customHeight="1">
      <c r="A273" s="93">
        <v>1829100740</v>
      </c>
      <c r="B273" s="109" t="str">
        <f t="shared" si="117"/>
        <v>740</v>
      </c>
      <c r="C273" s="109" t="str">
        <f t="shared" si="125"/>
        <v>829100</v>
      </c>
      <c r="D273" s="93" t="s">
        <v>578</v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>
        <f>VLOOKUP(A:A,'[1]דוח כספי 31.10'!A:J,9,0)</f>
        <v>0</v>
      </c>
      <c r="P273" s="95">
        <f>VLOOKUP(A:A,'[1]דוח כספי 31.10'!A:D,4,0)</f>
        <v>0</v>
      </c>
      <c r="Q273" s="95">
        <f t="shared" si="126"/>
        <v>0</v>
      </c>
      <c r="R273" s="200"/>
      <c r="S273" s="97"/>
      <c r="T273" s="91"/>
      <c r="U273" s="85"/>
      <c r="V273" s="98"/>
      <c r="W273" s="85"/>
      <c r="X273" s="85"/>
      <c r="Y273" s="85"/>
      <c r="Z273" s="85"/>
      <c r="AA273" s="85"/>
      <c r="AB273" s="85"/>
      <c r="AC273" s="83">
        <f t="shared" si="127"/>
        <v>0</v>
      </c>
    </row>
    <row r="274" spans="1:30" ht="15" customHeight="1">
      <c r="A274" s="93">
        <v>1829100750</v>
      </c>
      <c r="B274" s="109" t="str">
        <f t="shared" si="117"/>
        <v>750</v>
      </c>
      <c r="C274" s="109" t="str">
        <f t="shared" si="125"/>
        <v>829100</v>
      </c>
      <c r="D274" s="93" t="s">
        <v>579</v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>
        <f>VLOOKUP(A:A,'[1]דוח כספי 31.10'!A:J,9,0)</f>
        <v>142000</v>
      </c>
      <c r="P274" s="95">
        <f>VLOOKUP(A:A,'[1]דוח כספי 31.10'!A:D,4,0)</f>
        <v>110709</v>
      </c>
      <c r="Q274" s="95">
        <v>133000</v>
      </c>
      <c r="R274" s="200"/>
      <c r="S274" s="97"/>
      <c r="T274" s="91"/>
      <c r="U274" s="85"/>
      <c r="V274" s="98"/>
      <c r="W274" s="85"/>
      <c r="X274" s="85"/>
      <c r="Y274" s="85"/>
      <c r="Z274" s="85"/>
      <c r="AA274" s="85"/>
      <c r="AB274" s="85"/>
      <c r="AC274" s="83">
        <f t="shared" si="127"/>
        <v>31291</v>
      </c>
    </row>
    <row r="275" spans="1:30" ht="15" customHeight="1">
      <c r="A275" s="93">
        <v>1829100780</v>
      </c>
      <c r="B275" s="109" t="str">
        <f t="shared" si="117"/>
        <v>780</v>
      </c>
      <c r="C275" s="109" t="str">
        <f t="shared" si="125"/>
        <v>829100</v>
      </c>
      <c r="D275" s="93" t="s">
        <v>580</v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>
        <f>VLOOKUP(A:A,'[1]דוח כספי 31.10'!A:J,9,0)</f>
        <v>0</v>
      </c>
      <c r="P275" s="95">
        <f>VLOOKUP(A:A,'[1]דוח כספי 31.10'!A:D,4,0)</f>
        <v>0</v>
      </c>
      <c r="Q275" s="95">
        <f t="shared" si="126"/>
        <v>0</v>
      </c>
      <c r="R275" s="200"/>
      <c r="S275" s="97"/>
      <c r="T275" s="91"/>
      <c r="U275" s="85"/>
      <c r="V275" s="98"/>
      <c r="W275" s="85"/>
      <c r="X275" s="85"/>
      <c r="Y275" s="85"/>
      <c r="Z275" s="85"/>
      <c r="AA275" s="85"/>
      <c r="AB275" s="85"/>
      <c r="AC275" s="83">
        <f t="shared" si="127"/>
        <v>0</v>
      </c>
    </row>
    <row r="276" spans="1:30" ht="15" customHeight="1">
      <c r="A276" s="93">
        <v>1829100810</v>
      </c>
      <c r="B276" s="109" t="str">
        <f t="shared" si="117"/>
        <v>810</v>
      </c>
      <c r="C276" s="109" t="str">
        <f t="shared" si="125"/>
        <v>829100</v>
      </c>
      <c r="D276" s="93" t="s">
        <v>581</v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>
        <f>VLOOKUP(A:A,'[1]דוח כספי 31.10'!A:J,9,0)</f>
        <v>300000</v>
      </c>
      <c r="P276" s="95">
        <f>VLOOKUP(A:A,'[1]דוח כספי 31.10'!A:D,4,0)</f>
        <v>225000</v>
      </c>
      <c r="Q276" s="95">
        <v>300000</v>
      </c>
      <c r="R276" s="200"/>
      <c r="S276" s="97"/>
      <c r="T276" s="91"/>
      <c r="U276" s="85"/>
      <c r="V276" s="98"/>
      <c r="W276" s="85"/>
      <c r="X276" s="85"/>
      <c r="Y276" s="85"/>
      <c r="Z276" s="85"/>
      <c r="AA276" s="85"/>
      <c r="AB276" s="85"/>
      <c r="AC276" s="83">
        <f t="shared" si="127"/>
        <v>75000</v>
      </c>
    </row>
    <row r="277" spans="1:30" ht="15" customHeight="1">
      <c r="A277" s="93">
        <v>1829100910</v>
      </c>
      <c r="B277" s="109" t="str">
        <f t="shared" si="117"/>
        <v>910</v>
      </c>
      <c r="C277" s="109" t="str">
        <f t="shared" si="125"/>
        <v>829100</v>
      </c>
      <c r="D277" s="93" t="s">
        <v>582</v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>
        <f>VLOOKUP(A:A,'[1]דוח כספי 31.10'!A:J,9,0)</f>
        <v>0</v>
      </c>
      <c r="P277" s="95">
        <f>VLOOKUP(A:A,'[1]דוח כספי 31.10'!A:D,4,0)</f>
        <v>0</v>
      </c>
      <c r="Q277" s="95">
        <f t="shared" si="126"/>
        <v>0</v>
      </c>
      <c r="R277" s="200"/>
      <c r="S277" s="97"/>
      <c r="T277" s="91"/>
      <c r="U277" s="85"/>
      <c r="V277" s="98"/>
      <c r="W277" s="85"/>
      <c r="X277" s="85"/>
      <c r="Y277" s="85"/>
      <c r="Z277" s="85"/>
      <c r="AA277" s="85"/>
      <c r="AB277" s="85"/>
      <c r="AC277" s="83">
        <f t="shared" si="127"/>
        <v>0</v>
      </c>
      <c r="AD277">
        <v>0</v>
      </c>
    </row>
    <row r="278" spans="1:30" ht="15" customHeight="1">
      <c r="A278" s="93">
        <v>1829100930</v>
      </c>
      <c r="B278" s="109" t="str">
        <f t="shared" si="117"/>
        <v>930</v>
      </c>
      <c r="C278" s="109" t="str">
        <f t="shared" si="125"/>
        <v>829100</v>
      </c>
      <c r="D278" s="93" t="s">
        <v>583</v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>
        <f>VLOOKUP(A:A,'[1]דוח כספי 31.10'!A:J,9,0)</f>
        <v>40000</v>
      </c>
      <c r="P278" s="95">
        <f>VLOOKUP(A:A,'[1]דוח כספי 31.10'!A:D,4,0)</f>
        <v>8661</v>
      </c>
      <c r="Q278" s="95">
        <v>10000</v>
      </c>
      <c r="R278" s="200"/>
      <c r="S278" s="97"/>
      <c r="T278" s="91"/>
      <c r="U278" s="85"/>
      <c r="V278" s="98"/>
      <c r="W278" s="85"/>
      <c r="X278" s="85"/>
      <c r="Y278" s="85"/>
      <c r="Z278" s="85"/>
      <c r="AA278" s="85"/>
      <c r="AB278" s="85"/>
      <c r="AC278" s="83">
        <f t="shared" si="127"/>
        <v>31339</v>
      </c>
    </row>
    <row r="279" spans="1:30" ht="16.5" customHeight="1">
      <c r="A279" s="93">
        <v>1829200110</v>
      </c>
      <c r="B279" s="109" t="str">
        <f t="shared" si="117"/>
        <v>110</v>
      </c>
      <c r="C279" s="109" t="str">
        <f t="shared" si="125"/>
        <v>829200</v>
      </c>
      <c r="D279" s="93" t="s">
        <v>584</v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>
        <f>VLOOKUP(A:A,'[1]דוח כספי 31.10'!A:J,9,0)</f>
        <v>0</v>
      </c>
      <c r="P279" s="95">
        <f>VLOOKUP(A:A,'[1]דוח כספי 31.10'!A:D,4,0)</f>
        <v>0</v>
      </c>
      <c r="Q279" s="95">
        <f t="shared" si="119"/>
        <v>0</v>
      </c>
      <c r="R279" s="200"/>
      <c r="S279" s="97"/>
      <c r="T279" s="91"/>
      <c r="U279" s="85"/>
      <c r="V279" s="98"/>
      <c r="W279" s="85"/>
      <c r="X279" s="85"/>
      <c r="Y279" s="85"/>
      <c r="Z279" s="85"/>
      <c r="AA279" s="85"/>
      <c r="AB279" s="85"/>
      <c r="AC279"/>
    </row>
    <row r="280" spans="1:30" ht="15" customHeight="1">
      <c r="A280" s="93">
        <v>1829200431</v>
      </c>
      <c r="B280" s="109" t="str">
        <f t="shared" si="117"/>
        <v>431</v>
      </c>
      <c r="C280" s="109" t="str">
        <f t="shared" si="125"/>
        <v>829200</v>
      </c>
      <c r="D280" s="93" t="s">
        <v>585</v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>
        <f>VLOOKUP(A:A,'[1]דוח כספי 31.10'!A:J,9,0)</f>
        <v>6000</v>
      </c>
      <c r="P280" s="95">
        <f>VLOOKUP(A:A,'[1]דוח כספי 31.10'!A:D,4,0)</f>
        <v>0</v>
      </c>
      <c r="Q280" s="95">
        <f t="shared" ref="Q280:Q283" si="128">P280/10*12</f>
        <v>0</v>
      </c>
      <c r="R280" s="200"/>
      <c r="S280" s="97"/>
      <c r="T280" s="91"/>
      <c r="U280" s="85"/>
      <c r="V280" s="98"/>
      <c r="W280" s="85"/>
      <c r="X280" s="85"/>
      <c r="Y280" s="85"/>
      <c r="Z280" s="85"/>
      <c r="AA280" s="85"/>
      <c r="AB280" s="85"/>
      <c r="AC280" s="83">
        <f t="shared" ref="AC280:AC286" si="129">O280-P280</f>
        <v>6000</v>
      </c>
    </row>
    <row r="281" spans="1:30" ht="15" customHeight="1">
      <c r="A281" s="93">
        <v>1829200521</v>
      </c>
      <c r="B281" s="109" t="str">
        <f t="shared" si="117"/>
        <v>521</v>
      </c>
      <c r="C281" s="109" t="str">
        <f t="shared" si="125"/>
        <v>829200</v>
      </c>
      <c r="D281" s="93" t="s">
        <v>586</v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>
        <f>VLOOKUP(A:A,'[1]דוח כספי 31.10'!A:J,9,0)</f>
        <v>2000</v>
      </c>
      <c r="P281" s="95">
        <f>VLOOKUP(A:A,'[1]דוח כספי 31.10'!A:D,4,0)</f>
        <v>0</v>
      </c>
      <c r="Q281" s="95">
        <f t="shared" si="128"/>
        <v>0</v>
      </c>
      <c r="R281" s="200"/>
      <c r="S281" s="97"/>
      <c r="T281" s="91"/>
      <c r="U281" s="85"/>
      <c r="V281" s="98"/>
      <c r="W281" s="85"/>
      <c r="X281" s="85"/>
      <c r="Y281" s="85"/>
      <c r="Z281" s="85"/>
      <c r="AA281" s="85"/>
      <c r="AB281" s="85"/>
      <c r="AC281" s="83">
        <f t="shared" si="129"/>
        <v>2000</v>
      </c>
    </row>
    <row r="282" spans="1:30" ht="15" customHeight="1">
      <c r="A282" s="93">
        <v>1829300740</v>
      </c>
      <c r="B282" s="109" t="str">
        <f t="shared" si="117"/>
        <v>740</v>
      </c>
      <c r="C282" s="109" t="str">
        <f t="shared" si="125"/>
        <v>829300</v>
      </c>
      <c r="D282" s="93" t="s">
        <v>587</v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>
        <f>VLOOKUP(A:A,'[1]דוח כספי 31.10'!A:J,9,0)</f>
        <v>0</v>
      </c>
      <c r="P282" s="95">
        <f>VLOOKUP(A:A,'[1]דוח כספי 31.10'!A:D,4,0)</f>
        <v>0</v>
      </c>
      <c r="Q282" s="95">
        <f t="shared" si="128"/>
        <v>0</v>
      </c>
      <c r="R282" s="200"/>
      <c r="S282" s="97"/>
      <c r="T282" s="91"/>
      <c r="U282" s="85"/>
      <c r="V282" s="98"/>
      <c r="W282" s="85"/>
      <c r="X282" s="85"/>
      <c r="Y282" s="85"/>
      <c r="Z282" s="85"/>
      <c r="AA282" s="85"/>
      <c r="AB282" s="85"/>
      <c r="AC282" s="83">
        <f t="shared" si="129"/>
        <v>0</v>
      </c>
    </row>
    <row r="283" spans="1:30" ht="15" customHeight="1">
      <c r="A283" s="93">
        <v>1829300810</v>
      </c>
      <c r="B283" s="109" t="str">
        <f t="shared" si="117"/>
        <v>810</v>
      </c>
      <c r="C283" s="109" t="str">
        <f t="shared" si="125"/>
        <v>829300</v>
      </c>
      <c r="D283" s="93" t="s">
        <v>588</v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>
        <f>VLOOKUP(A:A,'[1]דוח כספי 31.10'!A:J,9,0)</f>
        <v>24000</v>
      </c>
      <c r="P283" s="95">
        <f>VLOOKUP(A:A,'[1]דוח כספי 31.10'!A:D,4,0)</f>
        <v>0</v>
      </c>
      <c r="Q283" s="95">
        <f t="shared" si="128"/>
        <v>0</v>
      </c>
      <c r="R283" s="200"/>
      <c r="S283" s="97"/>
      <c r="T283" s="91"/>
      <c r="U283" s="85"/>
      <c r="V283" s="98"/>
      <c r="W283" s="85"/>
      <c r="X283" s="85"/>
      <c r="Y283" s="85"/>
      <c r="Z283" s="85"/>
      <c r="AA283" s="85"/>
      <c r="AB283" s="85"/>
      <c r="AC283" s="83">
        <f t="shared" si="129"/>
        <v>24000</v>
      </c>
    </row>
    <row r="284" spans="1:30" ht="15" customHeight="1">
      <c r="A284" s="206"/>
      <c r="B284" s="201"/>
      <c r="C284" s="201"/>
      <c r="D284" s="202" t="s">
        <v>589</v>
      </c>
      <c r="E284" s="203" t="e">
        <f>SUM(#REF!)</f>
        <v>#REF!</v>
      </c>
      <c r="F284" s="203" t="e">
        <f>SUM(#REF!)</f>
        <v>#REF!</v>
      </c>
      <c r="G284" s="203" t="e">
        <f>SUM(#REF!)</f>
        <v>#REF!</v>
      </c>
      <c r="H284" s="203" t="e">
        <f>SUM(#REF!)</f>
        <v>#REF!</v>
      </c>
      <c r="I284" s="203" t="e">
        <f>SUM(#REF!)</f>
        <v>#REF!</v>
      </c>
      <c r="J284" s="203" t="e">
        <f>SUM(#REF!)</f>
        <v>#REF!</v>
      </c>
      <c r="K284" s="203" t="e">
        <f>SUM(#REF!)</f>
        <v>#REF!</v>
      </c>
      <c r="L284" s="203" t="e">
        <f>SUM(#REF!)</f>
        <v>#REF!</v>
      </c>
      <c r="M284" s="203" t="e">
        <f>SUM(#REF!)</f>
        <v>#REF!</v>
      </c>
      <c r="N284" s="203" t="e">
        <f>SUM(#REF!)</f>
        <v>#REF!</v>
      </c>
      <c r="O284" s="203">
        <f>SUM(O270:O283)</f>
        <v>841000</v>
      </c>
      <c r="P284" s="203">
        <f t="shared" ref="P284:R284" si="130">SUM(P270:P283)</f>
        <v>530476.87</v>
      </c>
      <c r="Q284" s="203">
        <f t="shared" si="130"/>
        <v>836500</v>
      </c>
      <c r="R284" s="203">
        <f t="shared" si="130"/>
        <v>0</v>
      </c>
      <c r="S284" s="205"/>
      <c r="T284" s="91"/>
      <c r="U284" s="85">
        <f>IF(ISBLANK(A284),1,--OR(K284&gt;1,L284&gt;1,M284&gt;1))</f>
        <v>1</v>
      </c>
      <c r="V284" s="98">
        <v>0</v>
      </c>
      <c r="W284" s="85"/>
      <c r="X284" s="85"/>
      <c r="Y284" s="85"/>
      <c r="Z284" s="85"/>
      <c r="AA284" s="85"/>
      <c r="AB284" s="85"/>
      <c r="AC284" s="83">
        <f t="shared" si="129"/>
        <v>310523.13</v>
      </c>
    </row>
    <row r="285" spans="1:30" ht="15" customHeight="1">
      <c r="A285" s="206"/>
      <c r="B285" s="211"/>
      <c r="C285" s="211"/>
      <c r="D285" s="212" t="s">
        <v>249</v>
      </c>
      <c r="E285" s="213" t="e">
        <f t="shared" ref="E285:N285" si="131">E284+E269</f>
        <v>#REF!</v>
      </c>
      <c r="F285" s="213" t="e">
        <f t="shared" si="131"/>
        <v>#REF!</v>
      </c>
      <c r="G285" s="213" t="e">
        <f t="shared" si="131"/>
        <v>#REF!</v>
      </c>
      <c r="H285" s="213" t="e">
        <f t="shared" si="131"/>
        <v>#REF!</v>
      </c>
      <c r="I285" s="213" t="e">
        <f t="shared" si="131"/>
        <v>#REF!</v>
      </c>
      <c r="J285" s="213" t="e">
        <f t="shared" si="131"/>
        <v>#REF!</v>
      </c>
      <c r="K285" s="213" t="e">
        <f t="shared" si="131"/>
        <v>#REF!</v>
      </c>
      <c r="L285" s="213" t="e">
        <f t="shared" si="131"/>
        <v>#REF!</v>
      </c>
      <c r="M285" s="213" t="e">
        <f t="shared" si="131"/>
        <v>#REF!</v>
      </c>
      <c r="N285" s="213" t="e">
        <f t="shared" si="131"/>
        <v>#REF!</v>
      </c>
      <c r="O285" s="213">
        <f>O284+O269</f>
        <v>3267000</v>
      </c>
      <c r="P285" s="213">
        <f t="shared" ref="P285:R285" si="132">P284+P269</f>
        <v>3364775.4699999997</v>
      </c>
      <c r="Q285" s="213">
        <f t="shared" si="132"/>
        <v>4263500</v>
      </c>
      <c r="R285" s="213">
        <f t="shared" si="132"/>
        <v>0</v>
      </c>
      <c r="S285" s="214"/>
      <c r="T285" s="91"/>
      <c r="U285" s="85">
        <f>IF(ISBLANK(A285),1,--OR(K285&gt;1,L285&gt;1,M285&gt;1))</f>
        <v>1</v>
      </c>
      <c r="V285" s="98">
        <v>0</v>
      </c>
      <c r="W285" s="85"/>
      <c r="X285" s="85"/>
      <c r="Y285" s="85"/>
      <c r="Z285" s="85"/>
      <c r="AA285" s="85"/>
      <c r="AB285" s="85"/>
      <c r="AC285" s="83">
        <f t="shared" si="129"/>
        <v>-97775.469999999739</v>
      </c>
    </row>
    <row r="286" spans="1:30" ht="15" customHeight="1">
      <c r="A286" s="197"/>
      <c r="B286" s="87" t="s">
        <v>250</v>
      </c>
      <c r="C286" s="87"/>
      <c r="D286" s="87"/>
      <c r="E286" s="87"/>
      <c r="F286" s="87"/>
      <c r="G286" s="87"/>
      <c r="H286" s="88"/>
      <c r="I286" s="95"/>
      <c r="J286" s="124"/>
      <c r="K286" s="124"/>
      <c r="L286" s="124"/>
      <c r="M286" s="124"/>
      <c r="N286" s="95">
        <v>0</v>
      </c>
      <c r="O286" s="95"/>
      <c r="P286" s="95"/>
      <c r="Q286" s="95">
        <f t="shared" ref="Q286" si="133">P286/10*12</f>
        <v>0</v>
      </c>
      <c r="R286" s="198"/>
      <c r="S286" s="90"/>
      <c r="T286" s="91"/>
      <c r="U286" s="85">
        <f>IF(ISBLANK(A286),1,--OR(K286&gt;1,L286&gt;1,M286&gt;1))</f>
        <v>1</v>
      </c>
      <c r="V286" s="98">
        <f t="shared" ref="V286" si="134">+P286-M286</f>
        <v>0</v>
      </c>
      <c r="W286" s="85"/>
      <c r="X286" s="85"/>
      <c r="Y286" s="85"/>
      <c r="Z286" s="85"/>
      <c r="AA286" s="85"/>
      <c r="AB286" s="85"/>
      <c r="AC286" s="83">
        <f t="shared" si="129"/>
        <v>0</v>
      </c>
    </row>
    <row r="287" spans="1:30" ht="18" customHeight="1">
      <c r="A287" s="93">
        <v>1832400110</v>
      </c>
      <c r="B287" s="109" t="str">
        <f t="shared" ref="B287:B294" si="135">MID(A287,8,3)</f>
        <v>110</v>
      </c>
      <c r="C287" s="109" t="str">
        <f t="shared" ref="C287:C294" si="136">MID(A287,2,6)</f>
        <v>832400</v>
      </c>
      <c r="D287" s="93" t="s">
        <v>590</v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>
        <f>VLOOKUP(A:A,'[1]דוח כספי 31.10'!A:J,9,0)</f>
        <v>66000</v>
      </c>
      <c r="P287" s="95">
        <f>VLOOKUP(A:A,'[1]דוח כספי 31.10'!A:D,4,0)</f>
        <v>51505.04</v>
      </c>
      <c r="Q287" s="95">
        <v>69000</v>
      </c>
      <c r="R287" s="200"/>
      <c r="S287" s="97"/>
      <c r="T287" s="91"/>
      <c r="U287" s="85"/>
      <c r="V287" s="98"/>
      <c r="W287" s="85"/>
      <c r="X287" s="85"/>
      <c r="Y287" s="85"/>
      <c r="Z287" s="85"/>
      <c r="AA287" s="85"/>
      <c r="AB287" s="85"/>
      <c r="AC287"/>
    </row>
    <row r="288" spans="1:30" ht="15" customHeight="1">
      <c r="A288" s="93">
        <v>1832400420</v>
      </c>
      <c r="B288" s="109" t="str">
        <f t="shared" si="135"/>
        <v>420</v>
      </c>
      <c r="C288" s="109" t="str">
        <f t="shared" si="136"/>
        <v>832400</v>
      </c>
      <c r="D288" s="93" t="s">
        <v>591</v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>
        <f>VLOOKUP(A:A,'[1]דוח כספי 31.10'!A:J,9,0)</f>
        <v>0</v>
      </c>
      <c r="P288" s="95">
        <f>VLOOKUP(A:A,'[1]דוח כספי 31.10'!A:D,4,0)</f>
        <v>0</v>
      </c>
      <c r="Q288" s="95">
        <f t="shared" ref="Q288:Q293" si="137">P288/10*12</f>
        <v>0</v>
      </c>
      <c r="R288" s="200"/>
      <c r="S288" s="97"/>
      <c r="T288" s="91"/>
      <c r="U288" s="85"/>
      <c r="V288" s="98"/>
      <c r="W288" s="85"/>
      <c r="X288" s="85"/>
      <c r="Y288" s="85"/>
      <c r="Z288" s="85"/>
      <c r="AA288" s="85"/>
      <c r="AB288" s="85"/>
      <c r="AC288" s="83">
        <f t="shared" ref="AC288:AC296" si="138">O288-P288</f>
        <v>0</v>
      </c>
    </row>
    <row r="289" spans="1:30" ht="15" customHeight="1">
      <c r="A289" s="93">
        <v>1832400431</v>
      </c>
      <c r="B289" s="109" t="str">
        <f t="shared" si="135"/>
        <v>431</v>
      </c>
      <c r="C289" s="109" t="str">
        <f t="shared" si="136"/>
        <v>832400</v>
      </c>
      <c r="D289" s="93" t="s">
        <v>592</v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>
        <f>VLOOKUP(A:A,'[1]דוח כספי 31.10'!A:J,9,0)</f>
        <v>13000</v>
      </c>
      <c r="P289" s="95">
        <f>VLOOKUP(A:A,'[1]דוח כספי 31.10'!A:D,4,0)</f>
        <v>5487.61</v>
      </c>
      <c r="Q289" s="95">
        <v>7000</v>
      </c>
      <c r="R289" s="200"/>
      <c r="S289" s="97"/>
      <c r="T289" s="91"/>
      <c r="U289" s="85"/>
      <c r="V289" s="98"/>
      <c r="W289" s="85"/>
      <c r="X289" s="85"/>
      <c r="Y289" s="85"/>
      <c r="Z289" s="85"/>
      <c r="AA289" s="85"/>
      <c r="AB289" s="85"/>
      <c r="AC289" s="83">
        <f t="shared" si="138"/>
        <v>7512.39</v>
      </c>
    </row>
    <row r="290" spans="1:30" ht="15" customHeight="1">
      <c r="A290" s="93">
        <v>1832400540</v>
      </c>
      <c r="B290" s="109" t="str">
        <f t="shared" si="135"/>
        <v>540</v>
      </c>
      <c r="C290" s="109" t="str">
        <f t="shared" si="136"/>
        <v>832400</v>
      </c>
      <c r="D290" s="93" t="s">
        <v>690</v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>
        <f>VLOOKUP(A:A,'[1]דוח כספי 31.10'!A:J,9,0)</f>
        <v>0</v>
      </c>
      <c r="P290" s="95">
        <f>VLOOKUP(A:A,'[1]דוח כספי 31.10'!A:D,4,0)</f>
        <v>6390.44</v>
      </c>
      <c r="Q290" s="95">
        <v>8000</v>
      </c>
      <c r="R290" s="200"/>
      <c r="S290" s="97"/>
      <c r="T290" s="91"/>
      <c r="U290" s="85"/>
      <c r="V290" s="98"/>
      <c r="W290" s="85"/>
      <c r="X290" s="85"/>
      <c r="Y290" s="85"/>
      <c r="Z290" s="85"/>
      <c r="AA290" s="85"/>
      <c r="AB290" s="85"/>
      <c r="AC290" s="83">
        <f t="shared" si="138"/>
        <v>-6390.44</v>
      </c>
      <c r="AD290">
        <v>0</v>
      </c>
    </row>
    <row r="291" spans="1:30" ht="15" customHeight="1">
      <c r="A291" s="93">
        <v>1832400780</v>
      </c>
      <c r="B291" s="109" t="str">
        <f t="shared" si="135"/>
        <v>780</v>
      </c>
      <c r="C291" s="109" t="str">
        <f t="shared" si="136"/>
        <v>832400</v>
      </c>
      <c r="D291" s="93" t="s">
        <v>594</v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>
        <f>VLOOKUP(A:A,'[1]דוח כספי 31.10'!A:J,9,0)</f>
        <v>0</v>
      </c>
      <c r="P291" s="95">
        <f>VLOOKUP(A:A,'[1]דוח כספי 31.10'!A:D,4,0)</f>
        <v>0</v>
      </c>
      <c r="Q291" s="95">
        <f t="shared" si="137"/>
        <v>0</v>
      </c>
      <c r="R291" s="200"/>
      <c r="S291" s="97"/>
      <c r="T291" s="91"/>
      <c r="U291" s="85"/>
      <c r="V291" s="98"/>
      <c r="W291" s="85"/>
      <c r="X291" s="85"/>
      <c r="Y291" s="85"/>
      <c r="Z291" s="85"/>
      <c r="AA291" s="85"/>
      <c r="AB291" s="85"/>
      <c r="AC291" s="83">
        <f t="shared" si="138"/>
        <v>0</v>
      </c>
    </row>
    <row r="292" spans="1:30" ht="15" customHeight="1">
      <c r="A292" s="93">
        <v>1832400930</v>
      </c>
      <c r="B292" s="109" t="str">
        <f t="shared" si="135"/>
        <v>930</v>
      </c>
      <c r="C292" s="109" t="str">
        <f t="shared" si="136"/>
        <v>832400</v>
      </c>
      <c r="D292" s="93" t="s">
        <v>390</v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>
        <f>VLOOKUP(A:A,'[1]דוח כספי 31.10'!A:J,9,0)</f>
        <v>0</v>
      </c>
      <c r="P292" s="95">
        <f>VLOOKUP(A:A,'[1]דוח כספי 31.10'!A:D,4,0)</f>
        <v>0</v>
      </c>
      <c r="Q292" s="95">
        <f t="shared" si="137"/>
        <v>0</v>
      </c>
      <c r="R292" s="200"/>
      <c r="S292" s="97"/>
      <c r="T292" s="91"/>
      <c r="U292" s="85"/>
      <c r="V292" s="98"/>
      <c r="W292" s="85"/>
      <c r="X292" s="85"/>
      <c r="Y292" s="85"/>
      <c r="Z292" s="85"/>
      <c r="AA292" s="85"/>
      <c r="AB292" s="85"/>
      <c r="AC292" s="83">
        <f t="shared" si="138"/>
        <v>0</v>
      </c>
    </row>
    <row r="293" spans="1:30" ht="15" customHeight="1">
      <c r="A293" s="93">
        <v>1832400950</v>
      </c>
      <c r="B293" s="109" t="str">
        <f t="shared" si="135"/>
        <v>950</v>
      </c>
      <c r="C293" s="109" t="str">
        <f t="shared" si="136"/>
        <v>832400</v>
      </c>
      <c r="D293" s="93" t="s">
        <v>596</v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>
        <f>VLOOKUP(A:A,'[1]דוח כספי 31.10'!A:J,9,0)</f>
        <v>0</v>
      </c>
      <c r="P293" s="95">
        <f>VLOOKUP(A:A,'[1]דוח כספי 31.10'!A:D,4,0)</f>
        <v>0</v>
      </c>
      <c r="Q293" s="95">
        <f t="shared" si="137"/>
        <v>0</v>
      </c>
      <c r="R293" s="200"/>
      <c r="S293" s="97"/>
      <c r="T293" s="91"/>
      <c r="U293" s="85"/>
      <c r="V293" s="98"/>
      <c r="W293" s="85"/>
      <c r="X293" s="85"/>
      <c r="Y293" s="85"/>
      <c r="Z293" s="85"/>
      <c r="AA293" s="85"/>
      <c r="AB293" s="85"/>
      <c r="AC293" s="83">
        <f t="shared" si="138"/>
        <v>0</v>
      </c>
    </row>
    <row r="294" spans="1:30" ht="15" customHeight="1">
      <c r="A294" s="93">
        <v>1836200810</v>
      </c>
      <c r="B294" s="109" t="str">
        <f t="shared" si="135"/>
        <v>810</v>
      </c>
      <c r="C294" s="109" t="str">
        <f t="shared" si="136"/>
        <v>836200</v>
      </c>
      <c r="D294" s="93" t="s">
        <v>597</v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>
        <f>VLOOKUP(A:A,'[1]דוח כספי 31.10'!A:J,9,0)</f>
        <v>34000</v>
      </c>
      <c r="P294" s="95">
        <f>VLOOKUP(A:A,'[1]דוח כספי 31.10'!A:D,4,0)</f>
        <v>25900.5</v>
      </c>
      <c r="Q294" s="95">
        <v>32000</v>
      </c>
      <c r="R294" s="200"/>
      <c r="S294" s="97"/>
      <c r="T294" s="91"/>
      <c r="U294" s="85"/>
      <c r="V294" s="98"/>
      <c r="W294" s="85"/>
      <c r="X294" s="85"/>
      <c r="Y294" s="85"/>
      <c r="Z294" s="85"/>
      <c r="AA294" s="85"/>
      <c r="AB294" s="85"/>
      <c r="AC294" s="83">
        <f t="shared" si="138"/>
        <v>8099.5</v>
      </c>
    </row>
    <row r="295" spans="1:30" ht="15" customHeight="1">
      <c r="A295" s="206"/>
      <c r="B295" s="211"/>
      <c r="C295" s="211"/>
      <c r="D295" s="212" t="s">
        <v>252</v>
      </c>
      <c r="E295" s="213" t="e">
        <f>SUM(#REF!)</f>
        <v>#REF!</v>
      </c>
      <c r="F295" s="213" t="e">
        <f>SUM(#REF!)</f>
        <v>#REF!</v>
      </c>
      <c r="G295" s="213" t="e">
        <f>SUM(#REF!)</f>
        <v>#REF!</v>
      </c>
      <c r="H295" s="213" t="e">
        <f>SUM(#REF!)</f>
        <v>#REF!</v>
      </c>
      <c r="I295" s="213" t="e">
        <f>SUM(#REF!)</f>
        <v>#REF!</v>
      </c>
      <c r="J295" s="213" t="e">
        <f>SUM(#REF!)</f>
        <v>#REF!</v>
      </c>
      <c r="K295" s="213" t="e">
        <f>SUM(#REF!)</f>
        <v>#REF!</v>
      </c>
      <c r="L295" s="213" t="e">
        <f>SUM(#REF!)</f>
        <v>#REF!</v>
      </c>
      <c r="M295" s="213" t="e">
        <f>SUM(#REF!)</f>
        <v>#REF!</v>
      </c>
      <c r="N295" s="213" t="e">
        <f>SUM(#REF!)</f>
        <v>#REF!</v>
      </c>
      <c r="O295" s="213">
        <f>SUM(O287:O294)</f>
        <v>113000</v>
      </c>
      <c r="P295" s="213">
        <f t="shared" ref="P295:R295" si="139">SUM(P287:P294)</f>
        <v>89283.59</v>
      </c>
      <c r="Q295" s="213">
        <f t="shared" si="139"/>
        <v>116000</v>
      </c>
      <c r="R295" s="213">
        <f t="shared" si="139"/>
        <v>0</v>
      </c>
      <c r="S295" s="214"/>
      <c r="T295" s="91"/>
      <c r="U295" s="85">
        <f>IF(ISBLANK(A295),1,--OR(K295&gt;1,L295&gt;1,M295&gt;1))</f>
        <v>1</v>
      </c>
      <c r="V295" s="98">
        <v>0</v>
      </c>
      <c r="W295" s="85"/>
      <c r="X295" s="85"/>
      <c r="Y295" s="85"/>
      <c r="Z295" s="85"/>
      <c r="AA295" s="85"/>
      <c r="AB295" s="85"/>
      <c r="AC295" s="83">
        <f t="shared" si="138"/>
        <v>23716.410000000003</v>
      </c>
    </row>
    <row r="296" spans="1:30" ht="15" customHeight="1">
      <c r="A296" s="197"/>
      <c r="B296" s="87" t="s">
        <v>253</v>
      </c>
      <c r="C296" s="87"/>
      <c r="D296" s="87"/>
      <c r="E296" s="87"/>
      <c r="F296" s="87"/>
      <c r="G296" s="87"/>
      <c r="H296" s="88"/>
      <c r="I296" s="95"/>
      <c r="J296" s="124"/>
      <c r="K296" s="124"/>
      <c r="L296" s="124"/>
      <c r="M296" s="124"/>
      <c r="N296" s="95">
        <v>0</v>
      </c>
      <c r="O296" s="124"/>
      <c r="P296" s="124"/>
      <c r="Q296" s="95">
        <f t="shared" ref="Q296" si="140">P296/10*12</f>
        <v>0</v>
      </c>
      <c r="R296" s="198"/>
      <c r="S296" s="90"/>
      <c r="T296" s="91"/>
      <c r="U296" s="85">
        <f>IF(ISBLANK(A296),1,--OR(K296&gt;1,L296&gt;1,M296&gt;1))</f>
        <v>1</v>
      </c>
      <c r="V296" s="98">
        <f t="shared" ref="V296" si="141">+P296-M296</f>
        <v>0</v>
      </c>
      <c r="W296" s="85"/>
      <c r="X296" s="85"/>
      <c r="Y296" s="85"/>
      <c r="Z296" s="85"/>
      <c r="AA296" s="85"/>
      <c r="AB296" s="85"/>
      <c r="AC296" s="83">
        <f t="shared" si="138"/>
        <v>0</v>
      </c>
    </row>
    <row r="297" spans="1:30" ht="21.75" customHeight="1">
      <c r="A297" s="93">
        <v>1841000110</v>
      </c>
      <c r="B297" s="109" t="str">
        <f t="shared" ref="B297:B349" si="142">MID(A297,8,3)</f>
        <v>110</v>
      </c>
      <c r="C297" s="109" t="str">
        <f t="shared" ref="C297:C307" si="143">MID(A297,2,6)</f>
        <v>841000</v>
      </c>
      <c r="D297" s="93" t="s">
        <v>353</v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200"/>
      <c r="S297" s="97"/>
      <c r="T297" s="91"/>
      <c r="U297" s="85"/>
      <c r="V297" s="98"/>
      <c r="W297" s="85"/>
      <c r="X297" s="85"/>
      <c r="Y297" s="85"/>
      <c r="Z297" s="85"/>
      <c r="AA297" s="85"/>
      <c r="AB297" s="85"/>
      <c r="AC297"/>
    </row>
    <row r="298" spans="1:30" ht="15" customHeight="1">
      <c r="A298" s="93">
        <v>1841000420</v>
      </c>
      <c r="B298" s="109" t="str">
        <f t="shared" si="142"/>
        <v>420</v>
      </c>
      <c r="C298" s="109" t="str">
        <f t="shared" si="143"/>
        <v>841000</v>
      </c>
      <c r="D298" s="93" t="s">
        <v>598</v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>
        <f>VLOOKUP(A:A,'[1]דוח כספי 31.10'!A:J,9,0)</f>
        <v>14000</v>
      </c>
      <c r="P298" s="95">
        <f>VLOOKUP(A:A,'[1]דוח כספי 31.10'!A:D,4,0)</f>
        <v>31474</v>
      </c>
      <c r="Q298" s="95">
        <v>38000</v>
      </c>
      <c r="R298" s="200"/>
      <c r="S298" s="97"/>
      <c r="T298" s="91"/>
      <c r="U298" s="85"/>
      <c r="V298" s="98"/>
      <c r="W298" s="85"/>
      <c r="X298" s="85"/>
      <c r="Y298" s="85"/>
      <c r="Z298" s="85"/>
      <c r="AA298" s="85"/>
      <c r="AB298" s="85"/>
      <c r="AC298" s="83">
        <f t="shared" ref="AC298:AC308" si="144">O298-P298</f>
        <v>-17474</v>
      </c>
    </row>
    <row r="299" spans="1:30" ht="15" customHeight="1">
      <c r="A299" s="93">
        <v>1841000430</v>
      </c>
      <c r="B299" s="109" t="str">
        <f t="shared" si="142"/>
        <v>430</v>
      </c>
      <c r="C299" s="109" t="str">
        <f t="shared" si="143"/>
        <v>841000</v>
      </c>
      <c r="D299" s="93" t="s">
        <v>599</v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>
        <f>VLOOKUP(A:A,'[1]דוח כספי 31.10'!A:J,9,0)</f>
        <v>43000</v>
      </c>
      <c r="P299" s="95">
        <f>VLOOKUP(A:A,'[1]דוח כספי 31.10'!A:D,4,0)</f>
        <v>5000</v>
      </c>
      <c r="Q299" s="95">
        <f t="shared" ref="Q299:Q306" si="145">P299/10*12</f>
        <v>6000</v>
      </c>
      <c r="R299" s="200"/>
      <c r="S299" s="97"/>
      <c r="T299" s="91"/>
      <c r="U299" s="85"/>
      <c r="V299" s="98"/>
      <c r="W299" s="85"/>
      <c r="X299" s="85"/>
      <c r="Y299" s="85"/>
      <c r="Z299" s="85"/>
      <c r="AA299" s="85"/>
      <c r="AB299" s="85"/>
      <c r="AC299" s="83">
        <f t="shared" si="144"/>
        <v>38000</v>
      </c>
    </row>
    <row r="300" spans="1:30" ht="15" customHeight="1">
      <c r="A300" s="93">
        <v>1841000521</v>
      </c>
      <c r="B300" s="109" t="str">
        <f t="shared" si="142"/>
        <v>521</v>
      </c>
      <c r="C300" s="109" t="str">
        <f t="shared" si="143"/>
        <v>841000</v>
      </c>
      <c r="D300" s="93" t="s">
        <v>600</v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>
        <f>VLOOKUP(A:A,'[1]דוח כספי 31.10'!A:J,9,0)</f>
        <v>0</v>
      </c>
      <c r="P300" s="95">
        <f>VLOOKUP(A:A,'[1]דוח כספי 31.10'!A:D,4,0)</f>
        <v>1700</v>
      </c>
      <c r="Q300" s="95">
        <v>2000</v>
      </c>
      <c r="R300" s="200"/>
      <c r="S300" s="97"/>
      <c r="T300" s="91"/>
      <c r="U300" s="85"/>
      <c r="V300" s="98"/>
      <c r="W300" s="85"/>
      <c r="X300" s="85"/>
      <c r="Y300" s="85"/>
      <c r="Z300" s="85"/>
      <c r="AA300" s="85"/>
      <c r="AB300" s="85"/>
      <c r="AC300" s="83">
        <f t="shared" si="144"/>
        <v>-1700</v>
      </c>
    </row>
    <row r="301" spans="1:30" ht="15" customHeight="1">
      <c r="A301" s="93">
        <v>1841000560</v>
      </c>
      <c r="B301" s="109" t="str">
        <f t="shared" si="142"/>
        <v>560</v>
      </c>
      <c r="C301" s="109" t="str">
        <f t="shared" si="143"/>
        <v>841000</v>
      </c>
      <c r="D301" s="93" t="s">
        <v>601</v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>
        <f>VLOOKUP(A:A,'[1]דוח כספי 31.10'!A:J,9,0)</f>
        <v>9000</v>
      </c>
      <c r="P301" s="95">
        <f>VLOOKUP(A:A,'[1]דוח כספי 31.10'!A:D,4,0)</f>
        <v>4374</v>
      </c>
      <c r="Q301" s="95">
        <v>5000</v>
      </c>
      <c r="R301" s="200"/>
      <c r="S301" s="97"/>
      <c r="T301" s="91"/>
      <c r="U301" s="85"/>
      <c r="V301" s="98"/>
      <c r="W301" s="85"/>
      <c r="X301" s="85"/>
      <c r="Y301" s="85"/>
      <c r="Z301" s="85"/>
      <c r="AA301" s="85"/>
      <c r="AB301" s="85"/>
      <c r="AC301" s="83">
        <f t="shared" si="144"/>
        <v>4626</v>
      </c>
    </row>
    <row r="302" spans="1:30" ht="15" customHeight="1">
      <c r="A302" s="93">
        <v>1841000750</v>
      </c>
      <c r="B302" s="109" t="str">
        <f t="shared" si="142"/>
        <v>750</v>
      </c>
      <c r="C302" s="109" t="str">
        <f t="shared" si="143"/>
        <v>841000</v>
      </c>
      <c r="D302" s="93" t="s">
        <v>602</v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>
        <f>VLOOKUP(A:A,'[1]דוח כספי 31.10'!A:J,9,0)</f>
        <v>0</v>
      </c>
      <c r="P302" s="95">
        <f>VLOOKUP(A:A,'[1]דוח כספי 31.10'!A:D,4,0)</f>
        <v>0</v>
      </c>
      <c r="Q302" s="95">
        <f t="shared" si="145"/>
        <v>0</v>
      </c>
      <c r="R302" s="200"/>
      <c r="S302" s="97"/>
      <c r="T302" s="91"/>
      <c r="U302" s="85"/>
      <c r="V302" s="98"/>
      <c r="W302" s="85"/>
      <c r="X302" s="85"/>
      <c r="Y302" s="85"/>
      <c r="Z302" s="85"/>
      <c r="AA302" s="85"/>
      <c r="AB302" s="85"/>
      <c r="AC302" s="83">
        <f t="shared" si="144"/>
        <v>0</v>
      </c>
    </row>
    <row r="303" spans="1:30" ht="15" customHeight="1">
      <c r="A303" s="93">
        <v>1841000760</v>
      </c>
      <c r="B303" s="109" t="str">
        <f t="shared" si="142"/>
        <v>760</v>
      </c>
      <c r="C303" s="109" t="str">
        <f t="shared" si="143"/>
        <v>841000</v>
      </c>
      <c r="D303" s="93" t="s">
        <v>603</v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>
        <f>VLOOKUP(A:A,'[1]דוח כספי 31.10'!A:J,9,0)</f>
        <v>38000</v>
      </c>
      <c r="P303" s="95">
        <f>VLOOKUP(A:A,'[1]דוח כספי 31.10'!A:D,4,0)</f>
        <v>5000</v>
      </c>
      <c r="Q303" s="95">
        <f t="shared" si="145"/>
        <v>6000</v>
      </c>
      <c r="R303" s="200"/>
      <c r="S303" s="97"/>
      <c r="T303" s="91"/>
      <c r="U303" s="85"/>
      <c r="V303" s="98"/>
      <c r="W303" s="85"/>
      <c r="X303" s="85"/>
      <c r="Y303" s="85"/>
      <c r="Z303" s="85"/>
      <c r="AA303" s="85"/>
      <c r="AB303" s="85"/>
      <c r="AC303" s="83">
        <f t="shared" si="144"/>
        <v>33000</v>
      </c>
    </row>
    <row r="304" spans="1:30" ht="15" customHeight="1">
      <c r="A304" s="93">
        <v>1841000770</v>
      </c>
      <c r="B304" s="109" t="str">
        <f t="shared" si="142"/>
        <v>770</v>
      </c>
      <c r="C304" s="109" t="str">
        <f t="shared" si="143"/>
        <v>841000</v>
      </c>
      <c r="D304" s="93" t="s">
        <v>604</v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>
        <f>VLOOKUP(A:A,'[1]דוח כספי 31.10'!A:J,9,0)</f>
        <v>32000</v>
      </c>
      <c r="P304" s="95">
        <f>VLOOKUP(A:A,'[1]דוח כספי 31.10'!A:D,4,0)</f>
        <v>39646</v>
      </c>
      <c r="Q304" s="95">
        <v>48000</v>
      </c>
      <c r="R304" s="200"/>
      <c r="S304" s="97"/>
      <c r="T304" s="91"/>
      <c r="U304" s="85"/>
      <c r="V304" s="98"/>
      <c r="W304" s="85"/>
      <c r="X304" s="85"/>
      <c r="Y304" s="85"/>
      <c r="Z304" s="85"/>
      <c r="AA304" s="85"/>
      <c r="AB304" s="85"/>
      <c r="AC304" s="83">
        <f t="shared" si="144"/>
        <v>-7646</v>
      </c>
      <c r="AD304">
        <v>0</v>
      </c>
    </row>
    <row r="305" spans="1:30" ht="15" customHeight="1">
      <c r="A305" s="93">
        <v>1841000780</v>
      </c>
      <c r="B305" s="109" t="str">
        <f t="shared" si="142"/>
        <v>780</v>
      </c>
      <c r="C305" s="109" t="str">
        <f t="shared" si="143"/>
        <v>841000</v>
      </c>
      <c r="D305" s="93" t="s">
        <v>565</v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>
        <f>VLOOKUP(A:A,'[1]דוח כספי 31.10'!A:J,9,0)</f>
        <v>0</v>
      </c>
      <c r="P305" s="95">
        <f>VLOOKUP(A:A,'[1]דוח כספי 31.10'!A:D,4,0)</f>
        <v>0</v>
      </c>
      <c r="Q305" s="95">
        <f t="shared" si="145"/>
        <v>0</v>
      </c>
      <c r="R305" s="200"/>
      <c r="S305" s="97"/>
      <c r="T305" s="91"/>
      <c r="U305" s="85"/>
      <c r="V305" s="98"/>
      <c r="W305" s="85"/>
      <c r="X305" s="85"/>
      <c r="Y305" s="85"/>
      <c r="Z305" s="85"/>
      <c r="AA305" s="85"/>
      <c r="AB305" s="85"/>
      <c r="AC305" s="83">
        <f t="shared" si="144"/>
        <v>0</v>
      </c>
    </row>
    <row r="306" spans="1:30" ht="15" customHeight="1">
      <c r="A306" s="93">
        <v>1841100810</v>
      </c>
      <c r="B306" s="109" t="str">
        <f t="shared" si="142"/>
        <v>810</v>
      </c>
      <c r="C306" s="109" t="str">
        <f t="shared" si="143"/>
        <v>841100</v>
      </c>
      <c r="D306" s="93" t="s">
        <v>605</v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>
        <f>VLOOKUP(A:A,'[1]דוח כספי 31.10'!A:J,9,0)</f>
        <v>0</v>
      </c>
      <c r="P306" s="95">
        <f>VLOOKUP(A:A,'[1]דוח כספי 31.10'!A:D,4,0)</f>
        <v>0</v>
      </c>
      <c r="Q306" s="95">
        <f t="shared" si="145"/>
        <v>0</v>
      </c>
      <c r="R306" s="200"/>
      <c r="S306" s="97"/>
      <c r="T306" s="91"/>
      <c r="U306" s="85"/>
      <c r="V306" s="98"/>
      <c r="W306" s="85"/>
      <c r="X306" s="85"/>
      <c r="Y306" s="85"/>
      <c r="Z306" s="85"/>
      <c r="AA306" s="85"/>
      <c r="AB306" s="85"/>
      <c r="AC306" s="83">
        <f t="shared" si="144"/>
        <v>0</v>
      </c>
    </row>
    <row r="307" spans="1:30" ht="15" customHeight="1">
      <c r="A307" s="93">
        <v>1841200810</v>
      </c>
      <c r="B307" s="109" t="str">
        <f t="shared" si="142"/>
        <v>810</v>
      </c>
      <c r="C307" s="109" t="str">
        <f t="shared" si="143"/>
        <v>841200</v>
      </c>
      <c r="D307" s="93" t="s">
        <v>606</v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>
        <f>VLOOKUP(A:A,'[1]דוח כספי 31.10'!A:J,9,0)</f>
        <v>81000</v>
      </c>
      <c r="P307" s="95">
        <f>VLOOKUP(A:A,'[1]דוח כספי 31.10'!A:D,4,0)</f>
        <v>21528</v>
      </c>
      <c r="Q307" s="95">
        <v>35000</v>
      </c>
      <c r="R307" s="200"/>
      <c r="S307" s="97"/>
      <c r="T307" s="91"/>
      <c r="U307" s="85"/>
      <c r="V307" s="98"/>
      <c r="W307" s="85"/>
      <c r="X307" s="85"/>
      <c r="Y307" s="85"/>
      <c r="Z307" s="85"/>
      <c r="AA307" s="85"/>
      <c r="AB307" s="85"/>
      <c r="AC307" s="83">
        <f t="shared" si="144"/>
        <v>59472</v>
      </c>
    </row>
    <row r="308" spans="1:30" ht="15" customHeight="1">
      <c r="A308" s="201"/>
      <c r="B308" s="201"/>
      <c r="C308" s="201"/>
      <c r="D308" s="202" t="s">
        <v>257</v>
      </c>
      <c r="E308" s="203" t="e">
        <f>SUM(#REF!)</f>
        <v>#REF!</v>
      </c>
      <c r="F308" s="203" t="e">
        <f>SUM(#REF!)</f>
        <v>#REF!</v>
      </c>
      <c r="G308" s="203" t="e">
        <f>SUM(#REF!)</f>
        <v>#REF!</v>
      </c>
      <c r="H308" s="203" t="e">
        <f>SUM(#REF!)</f>
        <v>#REF!</v>
      </c>
      <c r="I308" s="203" t="e">
        <f>SUM(#REF!)</f>
        <v>#REF!</v>
      </c>
      <c r="J308" s="203" t="e">
        <f>SUM(#REF!)</f>
        <v>#REF!</v>
      </c>
      <c r="K308" s="203" t="e">
        <f>SUM(#REF!)</f>
        <v>#REF!</v>
      </c>
      <c r="L308" s="203" t="e">
        <f>SUM(#REF!)</f>
        <v>#REF!</v>
      </c>
      <c r="M308" s="203" t="e">
        <f>SUM(#REF!)</f>
        <v>#REF!</v>
      </c>
      <c r="N308" s="203" t="e">
        <f>SUM(#REF!)</f>
        <v>#REF!</v>
      </c>
      <c r="O308" s="203">
        <f>SUM(O298:O307)</f>
        <v>217000</v>
      </c>
      <c r="P308" s="203">
        <f t="shared" ref="P308:R308" si="146">SUM(P298:P307)</f>
        <v>108722</v>
      </c>
      <c r="Q308" s="203">
        <f t="shared" si="146"/>
        <v>140000</v>
      </c>
      <c r="R308" s="203">
        <f t="shared" si="146"/>
        <v>0</v>
      </c>
      <c r="S308" s="205"/>
      <c r="T308" s="91"/>
      <c r="U308" s="85">
        <f>IF(ISBLANK(A308),1,--OR(K308&gt;1,L308&gt;1,M308&gt;1))</f>
        <v>1</v>
      </c>
      <c r="V308" s="98">
        <v>0</v>
      </c>
      <c r="W308" s="85"/>
      <c r="X308" s="85"/>
      <c r="Y308" s="85"/>
      <c r="Z308" s="85"/>
      <c r="AA308" s="85"/>
      <c r="AB308" s="85"/>
      <c r="AC308" s="83">
        <f t="shared" si="144"/>
        <v>108278</v>
      </c>
    </row>
    <row r="309" spans="1:30" ht="18" customHeight="1">
      <c r="A309" s="93">
        <v>1842000110</v>
      </c>
      <c r="B309" s="109" t="str">
        <f t="shared" si="142"/>
        <v>110</v>
      </c>
      <c r="C309" s="109" t="str">
        <f t="shared" ref="C309:C320" si="147">MID(A309,2,6)</f>
        <v>842000</v>
      </c>
      <c r="D309" s="93" t="s">
        <v>607</v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>
        <f>VLOOKUP(A:A,'[1]דוח כספי 31.10'!A:J,9,0)</f>
        <v>1776000</v>
      </c>
      <c r="P309" s="95">
        <f>VLOOKUP(A:A,'[1]דוח כספי 31.10'!A:D,4,0)</f>
        <v>1462389.21</v>
      </c>
      <c r="Q309" s="95">
        <v>2100000</v>
      </c>
      <c r="R309" s="200"/>
      <c r="S309" s="97"/>
      <c r="T309" s="91"/>
      <c r="U309" s="85"/>
      <c r="V309" s="98"/>
      <c r="W309" s="85"/>
      <c r="X309" s="85"/>
      <c r="Y309" s="85"/>
      <c r="Z309" s="85"/>
      <c r="AA309" s="85"/>
      <c r="AB309" s="85"/>
      <c r="AC309"/>
    </row>
    <row r="310" spans="1:30" ht="15" customHeight="1">
      <c r="A310" s="93">
        <v>1842000540</v>
      </c>
      <c r="B310" s="109" t="str">
        <f t="shared" si="142"/>
        <v>540</v>
      </c>
      <c r="C310" s="109" t="str">
        <f t="shared" si="147"/>
        <v>842000</v>
      </c>
      <c r="D310" s="93" t="s">
        <v>608</v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>
        <f>VLOOKUP(A:A,'[1]דוח כספי 31.10'!A:J,9,0)</f>
        <v>14000</v>
      </c>
      <c r="P310" s="95">
        <f>VLOOKUP(A:A,'[1]דוח כספי 31.10'!A:D,4,0)</f>
        <v>11076.94</v>
      </c>
      <c r="Q310" s="95">
        <v>14000</v>
      </c>
      <c r="R310" s="200"/>
      <c r="S310" s="97"/>
      <c r="T310" s="91"/>
      <c r="U310" s="85"/>
      <c r="V310" s="98"/>
      <c r="W310" s="85"/>
      <c r="X310" s="85"/>
      <c r="Y310" s="85"/>
      <c r="Z310" s="85"/>
      <c r="AA310" s="85"/>
      <c r="AB310" s="85"/>
      <c r="AC310" s="83">
        <f t="shared" ref="AC310:AC327" si="148">O310-P310</f>
        <v>2923.0599999999995</v>
      </c>
    </row>
    <row r="311" spans="1:30" ht="15" customHeight="1">
      <c r="A311" s="93">
        <v>1842200840</v>
      </c>
      <c r="B311" s="109" t="str">
        <f t="shared" si="142"/>
        <v>840</v>
      </c>
      <c r="C311" s="109" t="str">
        <f t="shared" si="147"/>
        <v>842200</v>
      </c>
      <c r="D311" s="93" t="s">
        <v>609</v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>
        <f>VLOOKUP(A:A,'[1]דוח כספי 31.10'!A:J,9,0)</f>
        <v>157000</v>
      </c>
      <c r="P311" s="95">
        <f>VLOOKUP(A:A,'[1]דוח כספי 31.10'!A:D,4,0)</f>
        <v>213260</v>
      </c>
      <c r="Q311" s="95">
        <v>256000</v>
      </c>
      <c r="R311" s="200"/>
      <c r="S311" s="97"/>
      <c r="T311" s="91"/>
      <c r="U311" s="85"/>
      <c r="V311" s="98"/>
      <c r="W311" s="85"/>
      <c r="X311" s="85"/>
      <c r="Y311" s="85"/>
      <c r="Z311" s="85"/>
      <c r="AA311" s="85"/>
      <c r="AB311" s="85"/>
      <c r="AC311" s="83">
        <f t="shared" si="148"/>
        <v>-56260</v>
      </c>
    </row>
    <row r="312" spans="1:30" ht="15" customHeight="1">
      <c r="A312" s="93">
        <v>1842210810</v>
      </c>
      <c r="B312" s="109" t="str">
        <f t="shared" si="142"/>
        <v>810</v>
      </c>
      <c r="C312" s="109" t="str">
        <f t="shared" si="147"/>
        <v>842210</v>
      </c>
      <c r="D312" s="93" t="s">
        <v>610</v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>
        <f>VLOOKUP(A:A,'[1]דוח כספי 31.10'!A:J,9,0)</f>
        <v>0</v>
      </c>
      <c r="P312" s="95">
        <f>VLOOKUP(A:A,'[1]דוח כספי 31.10'!A:D,4,0)</f>
        <v>0</v>
      </c>
      <c r="Q312" s="95">
        <f t="shared" ref="Q312:Q319" si="149">P312/10*12</f>
        <v>0</v>
      </c>
      <c r="R312" s="200"/>
      <c r="S312" s="97"/>
      <c r="T312" s="91"/>
      <c r="U312" s="85"/>
      <c r="V312" s="98"/>
      <c r="W312" s="85"/>
      <c r="X312" s="85"/>
      <c r="Y312" s="85"/>
      <c r="Z312" s="85"/>
      <c r="AA312" s="85"/>
      <c r="AB312" s="85"/>
      <c r="AC312" s="83">
        <f t="shared" si="148"/>
        <v>0</v>
      </c>
    </row>
    <row r="313" spans="1:30" ht="15" customHeight="1">
      <c r="A313" s="93">
        <v>1842210840</v>
      </c>
      <c r="B313" s="109" t="str">
        <f t="shared" si="142"/>
        <v>840</v>
      </c>
      <c r="C313" s="109" t="str">
        <f t="shared" si="147"/>
        <v>842210</v>
      </c>
      <c r="D313" s="93" t="s">
        <v>261</v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>
        <f>VLOOKUP(A:A,'[1]דוח כספי 31.10'!A:J,9,0)</f>
        <v>292000</v>
      </c>
      <c r="P313" s="95">
        <f>VLOOKUP(A:A,'[1]דוח כספי 31.10'!A:D,4,0)</f>
        <v>253802</v>
      </c>
      <c r="Q313" s="95">
        <v>305000</v>
      </c>
      <c r="R313" s="200"/>
      <c r="S313" s="97"/>
      <c r="T313" s="91"/>
      <c r="U313" s="85"/>
      <c r="V313" s="98"/>
      <c r="W313" s="85"/>
      <c r="X313" s="85"/>
      <c r="Y313" s="85"/>
      <c r="Z313" s="85"/>
      <c r="AA313" s="85"/>
      <c r="AB313" s="85"/>
      <c r="AC313" s="83">
        <f t="shared" si="148"/>
        <v>38198</v>
      </c>
    </row>
    <row r="314" spans="1:30" ht="15" customHeight="1">
      <c r="A314" s="93">
        <v>1842220810</v>
      </c>
      <c r="B314" s="109" t="str">
        <f t="shared" si="142"/>
        <v>810</v>
      </c>
      <c r="C314" s="109" t="str">
        <f t="shared" si="147"/>
        <v>842220</v>
      </c>
      <c r="D314" s="93" t="s">
        <v>266</v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>
        <f>VLOOKUP(A:A,'[1]דוח כספי 31.10'!A:J,9,0)</f>
        <v>346000</v>
      </c>
      <c r="P314" s="95">
        <f>VLOOKUP(A:A,'[1]דוח כספי 31.10'!A:D,4,0)</f>
        <v>302900</v>
      </c>
      <c r="Q314" s="95">
        <v>364000</v>
      </c>
      <c r="R314" s="200"/>
      <c r="S314" s="97"/>
      <c r="T314" s="91"/>
      <c r="U314" s="85"/>
      <c r="V314" s="98"/>
      <c r="W314" s="85"/>
      <c r="X314" s="85"/>
      <c r="Y314" s="85"/>
      <c r="Z314" s="85"/>
      <c r="AA314" s="85"/>
      <c r="AB314" s="85"/>
      <c r="AC314" s="83">
        <f t="shared" si="148"/>
        <v>43100</v>
      </c>
    </row>
    <row r="315" spans="1:30" ht="15" customHeight="1">
      <c r="A315" s="93">
        <v>1842222510</v>
      </c>
      <c r="B315" s="109" t="str">
        <f t="shared" si="142"/>
        <v>510</v>
      </c>
      <c r="C315" s="109" t="str">
        <f t="shared" si="147"/>
        <v>842222</v>
      </c>
      <c r="D315" s="93" t="s">
        <v>267</v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>
        <f>VLOOKUP(A:A,'[1]דוח כספי 31.10'!A:J,9,0)</f>
        <v>0</v>
      </c>
      <c r="P315" s="95">
        <f>VLOOKUP(A:A,'[1]דוח כספי 31.10'!A:D,4,0)</f>
        <v>702</v>
      </c>
      <c r="Q315" s="95">
        <v>1000</v>
      </c>
      <c r="R315" s="200"/>
      <c r="S315" s="97"/>
      <c r="T315" s="91"/>
      <c r="U315" s="85"/>
      <c r="V315" s="98"/>
      <c r="W315" s="85"/>
      <c r="X315" s="85"/>
      <c r="Y315" s="85"/>
      <c r="Z315" s="85"/>
      <c r="AA315" s="85"/>
      <c r="AB315" s="85"/>
      <c r="AC315" s="83">
        <f t="shared" si="148"/>
        <v>-702</v>
      </c>
    </row>
    <row r="316" spans="1:30" ht="15" customHeight="1">
      <c r="A316" s="93">
        <v>1842222930</v>
      </c>
      <c r="B316" s="109" t="str">
        <f t="shared" si="142"/>
        <v>930</v>
      </c>
      <c r="C316" s="109" t="str">
        <f t="shared" si="147"/>
        <v>842222</v>
      </c>
      <c r="D316" s="93" t="s">
        <v>267</v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>
        <f>VLOOKUP(A:A,'[1]דוח כספי 31.10'!A:J,9,0)</f>
        <v>0</v>
      </c>
      <c r="P316" s="95">
        <f>VLOOKUP(A:A,'[1]דוח כספי 31.10'!A:D,4,0)</f>
        <v>0</v>
      </c>
      <c r="Q316" s="95">
        <f t="shared" si="149"/>
        <v>0</v>
      </c>
      <c r="R316" s="200"/>
      <c r="S316" s="97"/>
      <c r="T316" s="91"/>
      <c r="U316" s="85"/>
      <c r="V316" s="98"/>
      <c r="W316" s="85"/>
      <c r="X316" s="85"/>
      <c r="Y316" s="85"/>
      <c r="Z316" s="85"/>
      <c r="AA316" s="85"/>
      <c r="AB316" s="85"/>
      <c r="AC316" s="83">
        <f t="shared" si="148"/>
        <v>0</v>
      </c>
    </row>
    <row r="317" spans="1:30" ht="15" customHeight="1">
      <c r="A317" s="93">
        <v>1842230810</v>
      </c>
      <c r="B317" s="109" t="str">
        <f t="shared" si="142"/>
        <v>810</v>
      </c>
      <c r="C317" s="109" t="str">
        <f t="shared" si="147"/>
        <v>842230</v>
      </c>
      <c r="D317" s="93" t="s">
        <v>611</v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>
        <f>VLOOKUP(A:A,'[1]דוח כספי 31.10'!A:J,9,0)</f>
        <v>51000</v>
      </c>
      <c r="P317" s="95">
        <f>VLOOKUP(A:A,'[1]דוח כספי 31.10'!A:D,4,0)</f>
        <v>100757</v>
      </c>
      <c r="Q317" s="95">
        <v>121000</v>
      </c>
      <c r="R317" s="200"/>
      <c r="S317" s="97"/>
      <c r="T317" s="91"/>
      <c r="U317" s="85"/>
      <c r="V317" s="98"/>
      <c r="W317" s="85"/>
      <c r="X317" s="85"/>
      <c r="Y317" s="85"/>
      <c r="Z317" s="85"/>
      <c r="AA317" s="85"/>
      <c r="AB317" s="85"/>
      <c r="AC317" s="83">
        <f t="shared" si="148"/>
        <v>-49757</v>
      </c>
    </row>
    <row r="318" spans="1:30" ht="15" customHeight="1">
      <c r="A318" s="93">
        <v>1842500810</v>
      </c>
      <c r="B318" s="109" t="str">
        <f t="shared" si="142"/>
        <v>810</v>
      </c>
      <c r="C318" s="109" t="str">
        <f t="shared" si="147"/>
        <v>842500</v>
      </c>
      <c r="D318" s="93" t="s">
        <v>270</v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>
        <f>VLOOKUP(A:A,'[1]דוח כספי 31.10'!A:J,9,0)</f>
        <v>1000</v>
      </c>
      <c r="P318" s="95">
        <f>VLOOKUP(A:A,'[1]דוח כספי 31.10'!A:D,4,0)</f>
        <v>0</v>
      </c>
      <c r="Q318" s="95">
        <f t="shared" si="149"/>
        <v>0</v>
      </c>
      <c r="R318" s="200"/>
      <c r="S318" s="97"/>
      <c r="T318" s="91"/>
      <c r="U318" s="85"/>
      <c r="V318" s="98"/>
      <c r="W318" s="85"/>
      <c r="X318" s="85"/>
      <c r="Y318" s="85"/>
      <c r="Z318" s="85"/>
      <c r="AA318" s="85"/>
      <c r="AB318" s="85"/>
      <c r="AC318" s="83">
        <f t="shared" si="148"/>
        <v>1000</v>
      </c>
    </row>
    <row r="319" spans="1:30" ht="15" customHeight="1">
      <c r="A319" s="93">
        <v>1842510810</v>
      </c>
      <c r="B319" s="109" t="str">
        <f t="shared" si="142"/>
        <v>810</v>
      </c>
      <c r="C319" s="109" t="str">
        <f t="shared" si="147"/>
        <v>842510</v>
      </c>
      <c r="D319" s="93" t="s">
        <v>612</v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>
        <f>VLOOKUP(A:A,'[1]דוח כספי 31.10'!A:J,9,0)</f>
        <v>8000</v>
      </c>
      <c r="P319" s="95">
        <f>VLOOKUP(A:A,'[1]דוח כספי 31.10'!A:D,4,0)</f>
        <v>0</v>
      </c>
      <c r="Q319" s="95">
        <f t="shared" si="149"/>
        <v>0</v>
      </c>
      <c r="R319" s="200"/>
      <c r="S319" s="97"/>
      <c r="T319" s="91"/>
      <c r="U319" s="85"/>
      <c r="V319" s="98"/>
      <c r="W319" s="85"/>
      <c r="X319" s="85"/>
      <c r="Y319" s="85"/>
      <c r="Z319" s="85"/>
      <c r="AA319" s="85"/>
      <c r="AB319" s="85"/>
      <c r="AC319" s="83">
        <f t="shared" si="148"/>
        <v>8000</v>
      </c>
    </row>
    <row r="320" spans="1:30" ht="15" customHeight="1">
      <c r="A320" s="93">
        <v>1842600410</v>
      </c>
      <c r="B320" s="109" t="str">
        <f t="shared" si="142"/>
        <v>410</v>
      </c>
      <c r="C320" s="109" t="str">
        <f t="shared" si="147"/>
        <v>842600</v>
      </c>
      <c r="D320" s="93" t="s">
        <v>613</v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>
        <f>VLOOKUP(A:A,'[1]דוח כספי 31.10'!A:J,9,0)</f>
        <v>62000</v>
      </c>
      <c r="P320" s="95">
        <f>VLOOKUP(A:A,'[1]דוח כספי 31.10'!A:D,4,0)</f>
        <v>74400</v>
      </c>
      <c r="Q320" s="95">
        <v>90000</v>
      </c>
      <c r="R320" s="200"/>
      <c r="S320" s="97"/>
      <c r="T320" s="91"/>
      <c r="U320" s="85"/>
      <c r="V320" s="98"/>
      <c r="W320" s="85"/>
      <c r="X320" s="85"/>
      <c r="Y320" s="85"/>
      <c r="Z320" s="85"/>
      <c r="AA320" s="85"/>
      <c r="AB320" s="85"/>
      <c r="AC320" s="83">
        <f t="shared" si="148"/>
        <v>-12400</v>
      </c>
      <c r="AD320">
        <v>0</v>
      </c>
    </row>
    <row r="321" spans="1:30" ht="15" customHeight="1">
      <c r="A321" s="201"/>
      <c r="B321" s="201"/>
      <c r="C321" s="201"/>
      <c r="D321" s="202" t="s">
        <v>274</v>
      </c>
      <c r="E321" s="203" t="e">
        <f>SUM(#REF!)</f>
        <v>#REF!</v>
      </c>
      <c r="F321" s="203" t="e">
        <f>SUM(#REF!)</f>
        <v>#REF!</v>
      </c>
      <c r="G321" s="203" t="e">
        <f>SUM(#REF!)</f>
        <v>#REF!</v>
      </c>
      <c r="H321" s="203" t="e">
        <f>SUM(#REF!)</f>
        <v>#REF!</v>
      </c>
      <c r="I321" s="203" t="e">
        <f>SUM(#REF!)</f>
        <v>#REF!</v>
      </c>
      <c r="J321" s="203" t="e">
        <f>SUM(#REF!)</f>
        <v>#REF!</v>
      </c>
      <c r="K321" s="203" t="e">
        <f>SUM(#REF!)</f>
        <v>#REF!</v>
      </c>
      <c r="L321" s="203" t="e">
        <f>SUM(#REF!)</f>
        <v>#REF!</v>
      </c>
      <c r="M321" s="203" t="e">
        <f>SUM(#REF!)</f>
        <v>#REF!</v>
      </c>
      <c r="N321" s="203" t="e">
        <f>SUM(#REF!)</f>
        <v>#REF!</v>
      </c>
      <c r="O321" s="203">
        <f>SUM(O309:O320)</f>
        <v>2707000</v>
      </c>
      <c r="P321" s="203">
        <f t="shared" ref="P321:R321" si="150">SUM(P309:P320)</f>
        <v>2419287.15</v>
      </c>
      <c r="Q321" s="203">
        <f t="shared" si="150"/>
        <v>3251000</v>
      </c>
      <c r="R321" s="203">
        <f t="shared" si="150"/>
        <v>0</v>
      </c>
      <c r="S321" s="205"/>
      <c r="T321" s="91"/>
      <c r="U321" s="85">
        <f>IF(ISBLANK(A321),1,--OR(K321&gt;1,L321&gt;1,M321&gt;1))</f>
        <v>1</v>
      </c>
      <c r="V321" s="98">
        <v>0</v>
      </c>
      <c r="W321" s="85"/>
      <c r="X321" s="85"/>
      <c r="Y321" s="85"/>
      <c r="Z321" s="85"/>
      <c r="AA321" s="85"/>
      <c r="AB321" s="85"/>
      <c r="AC321" s="83">
        <f t="shared" si="148"/>
        <v>287712.85000000009</v>
      </c>
    </row>
    <row r="322" spans="1:30" ht="15" customHeight="1">
      <c r="A322" s="93">
        <v>1843500810</v>
      </c>
      <c r="B322" s="109" t="str">
        <f t="shared" si="142"/>
        <v>810</v>
      </c>
      <c r="C322" s="109" t="str">
        <f t="shared" ref="C322:C326" si="151">MID(A322,2,6)</f>
        <v>843500</v>
      </c>
      <c r="D322" s="93" t="s">
        <v>282</v>
      </c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>
        <f>VLOOKUP(A:A,'[1]דוח כספי 31.10'!A:J,9,0)</f>
        <v>1499000</v>
      </c>
      <c r="P322" s="95">
        <f>VLOOKUP(A:A,'[1]דוח כספי 31.10'!A:D,4,0)</f>
        <v>1311711</v>
      </c>
      <c r="Q322" s="95">
        <v>1574000</v>
      </c>
      <c r="R322" s="200"/>
      <c r="S322" s="97"/>
      <c r="T322" s="91"/>
      <c r="U322" s="85"/>
      <c r="V322" s="98"/>
      <c r="W322" s="85"/>
      <c r="X322" s="85"/>
      <c r="Y322" s="85"/>
      <c r="Z322" s="85"/>
      <c r="AA322" s="85"/>
      <c r="AB322" s="85"/>
      <c r="AC322" s="83">
        <f t="shared" si="148"/>
        <v>187289</v>
      </c>
    </row>
    <row r="323" spans="1:30" ht="15" customHeight="1">
      <c r="A323" s="93">
        <v>1843510840</v>
      </c>
      <c r="B323" s="109" t="str">
        <f t="shared" si="142"/>
        <v>840</v>
      </c>
      <c r="C323" s="109" t="str">
        <f t="shared" si="151"/>
        <v>843510</v>
      </c>
      <c r="D323" s="93" t="s">
        <v>278</v>
      </c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>
        <f>VLOOKUP(A:A,'[1]דוח כספי 31.10'!A:J,9,0)</f>
        <v>424000</v>
      </c>
      <c r="P323" s="95">
        <f>VLOOKUP(A:A,'[1]דוח כספי 31.10'!A:D,4,0)</f>
        <v>411418</v>
      </c>
      <c r="Q323" s="95">
        <v>494000</v>
      </c>
      <c r="R323" s="200"/>
      <c r="S323" s="97"/>
      <c r="T323" s="91"/>
      <c r="U323" s="85"/>
      <c r="V323" s="98"/>
      <c r="W323" s="85"/>
      <c r="X323" s="85"/>
      <c r="Y323" s="85"/>
      <c r="Z323" s="85"/>
      <c r="AA323" s="85"/>
      <c r="AB323" s="85"/>
      <c r="AC323" s="83">
        <f t="shared" si="148"/>
        <v>12582</v>
      </c>
    </row>
    <row r="324" spans="1:30" ht="15" customHeight="1">
      <c r="A324" s="93">
        <v>1843800840</v>
      </c>
      <c r="B324" s="109" t="str">
        <f t="shared" si="142"/>
        <v>840</v>
      </c>
      <c r="C324" s="109" t="str">
        <f t="shared" si="151"/>
        <v>843800</v>
      </c>
      <c r="D324" s="93" t="s">
        <v>276</v>
      </c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>
        <f>VLOOKUP(A:A,'[1]דוח כספי 31.10'!A:J,9,0)</f>
        <v>291000</v>
      </c>
      <c r="P324" s="95">
        <f>VLOOKUP(A:A,'[1]דוח כספי 31.10'!A:D,4,0)</f>
        <v>200420</v>
      </c>
      <c r="Q324" s="95">
        <v>241000</v>
      </c>
      <c r="R324" s="200"/>
      <c r="S324" s="97"/>
      <c r="T324" s="91"/>
      <c r="U324" s="85"/>
      <c r="V324" s="98"/>
      <c r="W324" s="85"/>
      <c r="X324" s="85"/>
      <c r="Y324" s="85"/>
      <c r="Z324" s="85"/>
      <c r="AA324" s="85"/>
      <c r="AB324" s="85"/>
      <c r="AC324" s="83">
        <f t="shared" si="148"/>
        <v>90580</v>
      </c>
    </row>
    <row r="325" spans="1:30" ht="15" customHeight="1">
      <c r="A325" s="93">
        <v>1843900810</v>
      </c>
      <c r="B325" s="109" t="str">
        <f t="shared" si="142"/>
        <v>810</v>
      </c>
      <c r="C325" s="109" t="str">
        <f t="shared" si="151"/>
        <v>843900</v>
      </c>
      <c r="D325" s="93" t="s">
        <v>614</v>
      </c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>
        <f>VLOOKUP(A:A,'[1]דוח כספי 31.10'!A:J,9,0)</f>
        <v>0</v>
      </c>
      <c r="P325" s="95">
        <f>VLOOKUP(A:A,'[1]דוח כספי 31.10'!A:D,4,0)</f>
        <v>0</v>
      </c>
      <c r="Q325" s="95">
        <f t="shared" ref="Q325" si="152">P325/10*12</f>
        <v>0</v>
      </c>
      <c r="R325" s="200"/>
      <c r="S325" s="97"/>
      <c r="T325" s="91"/>
      <c r="U325" s="85"/>
      <c r="V325" s="98"/>
      <c r="W325" s="85"/>
      <c r="X325" s="85"/>
      <c r="Y325" s="85"/>
      <c r="Z325" s="85"/>
      <c r="AA325" s="85"/>
      <c r="AB325" s="85"/>
      <c r="AC325" s="83">
        <f t="shared" si="148"/>
        <v>0</v>
      </c>
    </row>
    <row r="326" spans="1:30" ht="15" customHeight="1">
      <c r="A326" s="93">
        <v>1843910810</v>
      </c>
      <c r="B326" s="109" t="str">
        <f t="shared" si="142"/>
        <v>810</v>
      </c>
      <c r="C326" s="109" t="str">
        <f t="shared" si="151"/>
        <v>843910</v>
      </c>
      <c r="D326" s="93" t="s">
        <v>615</v>
      </c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>
        <f>VLOOKUP(A:A,'[1]דוח כספי 31.10'!A:J,9,0)</f>
        <v>19000</v>
      </c>
      <c r="P326" s="95">
        <f>VLOOKUP(A:A,'[1]דוח כספי 31.10'!A:D,4,0)</f>
        <v>12771</v>
      </c>
      <c r="Q326" s="95">
        <v>15000</v>
      </c>
      <c r="R326" s="200"/>
      <c r="S326" s="97"/>
      <c r="T326" s="91"/>
      <c r="U326" s="85"/>
      <c r="V326" s="98"/>
      <c r="W326" s="85"/>
      <c r="X326" s="85"/>
      <c r="Y326" s="85"/>
      <c r="Z326" s="85"/>
      <c r="AA326" s="85"/>
      <c r="AB326" s="85"/>
      <c r="AC326" s="83">
        <f t="shared" si="148"/>
        <v>6229</v>
      </c>
    </row>
    <row r="327" spans="1:30" ht="15" customHeight="1">
      <c r="A327" s="201"/>
      <c r="B327" s="201"/>
      <c r="C327" s="201"/>
      <c r="D327" s="202" t="s">
        <v>288</v>
      </c>
      <c r="E327" s="203" t="e">
        <f>SUM(#REF!)</f>
        <v>#REF!</v>
      </c>
      <c r="F327" s="203" t="e">
        <f>SUM(#REF!)</f>
        <v>#REF!</v>
      </c>
      <c r="G327" s="203" t="e">
        <f>SUM(#REF!)</f>
        <v>#REF!</v>
      </c>
      <c r="H327" s="203" t="e">
        <f>SUM(#REF!)</f>
        <v>#REF!</v>
      </c>
      <c r="I327" s="203" t="e">
        <f>SUM(#REF!)</f>
        <v>#REF!</v>
      </c>
      <c r="J327" s="203" t="e">
        <f>SUM(#REF!)</f>
        <v>#REF!</v>
      </c>
      <c r="K327" s="203" t="e">
        <f>SUM(#REF!)</f>
        <v>#REF!</v>
      </c>
      <c r="L327" s="203" t="e">
        <f>SUM(#REF!)</f>
        <v>#REF!</v>
      </c>
      <c r="M327" s="203" t="e">
        <f>SUM(#REF!)</f>
        <v>#REF!</v>
      </c>
      <c r="N327" s="203" t="e">
        <f>SUM(#REF!)</f>
        <v>#REF!</v>
      </c>
      <c r="O327" s="203">
        <f>SUM(O322:O326)</f>
        <v>2233000</v>
      </c>
      <c r="P327" s="203">
        <f t="shared" ref="P327:R327" si="153">SUM(P322:P326)</f>
        <v>1936320</v>
      </c>
      <c r="Q327" s="203">
        <f t="shared" si="153"/>
        <v>2324000</v>
      </c>
      <c r="R327" s="203">
        <f t="shared" si="153"/>
        <v>0</v>
      </c>
      <c r="S327" s="205"/>
      <c r="T327" s="91"/>
      <c r="U327" s="85">
        <f>IF(ISBLANK(A327),1,--OR(K327&gt;1,L327&gt;1,M327&gt;1))</f>
        <v>1</v>
      </c>
      <c r="V327" s="98">
        <v>0</v>
      </c>
      <c r="W327" s="85"/>
      <c r="X327" s="85"/>
      <c r="Y327" s="85"/>
      <c r="Z327" s="85"/>
      <c r="AA327" s="85"/>
      <c r="AB327" s="85"/>
      <c r="AC327" s="83">
        <f t="shared" si="148"/>
        <v>296680</v>
      </c>
    </row>
    <row r="328" spans="1:30" ht="18" customHeight="1">
      <c r="A328" s="93">
        <v>1844000110</v>
      </c>
      <c r="B328" s="109" t="str">
        <f t="shared" si="142"/>
        <v>110</v>
      </c>
      <c r="C328" s="109" t="str">
        <f t="shared" ref="C328:C332" si="154">MID(A328,2,6)</f>
        <v>844000</v>
      </c>
      <c r="D328" s="93" t="s">
        <v>616</v>
      </c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>
        <f>VLOOKUP(A:A,'[1]דוח כספי 31.10'!A:J,9,0)</f>
        <v>83000</v>
      </c>
      <c r="P328" s="95">
        <f>VLOOKUP(A:A,'[1]דוח כספי 31.10'!A:D,4,0)</f>
        <v>67502.55</v>
      </c>
      <c r="Q328" s="95">
        <v>90000</v>
      </c>
      <c r="R328" s="200"/>
      <c r="S328" s="97"/>
      <c r="T328" s="91"/>
      <c r="U328" s="85"/>
      <c r="V328" s="98"/>
      <c r="W328" s="85"/>
      <c r="X328" s="85"/>
      <c r="Y328" s="85"/>
      <c r="Z328" s="85"/>
      <c r="AA328" s="85"/>
      <c r="AB328" s="85"/>
      <c r="AC328"/>
    </row>
    <row r="329" spans="1:30" ht="15" customHeight="1">
      <c r="A329" s="93">
        <v>1844000431</v>
      </c>
      <c r="B329" s="109" t="str">
        <f t="shared" si="142"/>
        <v>431</v>
      </c>
      <c r="C329" s="109" t="str">
        <f t="shared" si="154"/>
        <v>844000</v>
      </c>
      <c r="D329" s="93" t="s">
        <v>617</v>
      </c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>
        <f>VLOOKUP(A:A,'[1]דוח כספי 31.10'!A:J,9,0)</f>
        <v>0</v>
      </c>
      <c r="P329" s="95">
        <f>VLOOKUP(A:A,'[1]דוח כספי 31.10'!A:D,4,0)</f>
        <v>0</v>
      </c>
      <c r="Q329" s="95">
        <f t="shared" ref="Q329:Q330" si="155">P329/10*12</f>
        <v>0</v>
      </c>
      <c r="R329" s="200"/>
      <c r="S329" s="97"/>
      <c r="T329" s="91"/>
      <c r="U329" s="85"/>
      <c r="V329" s="98"/>
      <c r="W329" s="85"/>
      <c r="X329" s="85"/>
      <c r="Y329" s="85"/>
      <c r="Z329" s="85"/>
      <c r="AA329" s="85"/>
      <c r="AB329" s="85"/>
      <c r="AC329" s="83">
        <f t="shared" ref="AC329:AC359" si="156">O329-P329</f>
        <v>0</v>
      </c>
    </row>
    <row r="330" spans="1:30" ht="15" customHeight="1">
      <c r="A330" s="93">
        <v>1844000980</v>
      </c>
      <c r="B330" s="109" t="str">
        <f t="shared" si="142"/>
        <v>980</v>
      </c>
      <c r="C330" s="109" t="str">
        <f t="shared" si="154"/>
        <v>844000</v>
      </c>
      <c r="D330" s="93" t="s">
        <v>618</v>
      </c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>
        <f>VLOOKUP(A:A,'[1]דוח כספי 31.10'!A:J,9,0)</f>
        <v>0</v>
      </c>
      <c r="P330" s="95">
        <f>VLOOKUP(A:A,'[1]דוח כספי 31.10'!A:D,4,0)</f>
        <v>0</v>
      </c>
      <c r="Q330" s="95">
        <f t="shared" si="155"/>
        <v>0</v>
      </c>
      <c r="R330" s="200"/>
      <c r="S330" s="97"/>
      <c r="T330" s="91"/>
      <c r="U330" s="85"/>
      <c r="V330" s="98"/>
      <c r="W330" s="85"/>
      <c r="X330" s="85"/>
      <c r="Y330" s="85"/>
      <c r="Z330" s="85"/>
      <c r="AA330" s="85"/>
      <c r="AB330" s="85"/>
      <c r="AC330" s="83">
        <f t="shared" si="156"/>
        <v>0</v>
      </c>
    </row>
    <row r="331" spans="1:30" ht="15" customHeight="1">
      <c r="A331" s="93">
        <v>1844410810</v>
      </c>
      <c r="B331" s="109" t="str">
        <f t="shared" si="142"/>
        <v>810</v>
      </c>
      <c r="C331" s="109" t="str">
        <f t="shared" si="154"/>
        <v>844410</v>
      </c>
      <c r="D331" s="93" t="s">
        <v>294</v>
      </c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>
        <f>VLOOKUP(A:A,'[1]דוח כספי 31.10'!A:J,9,0)</f>
        <v>53000</v>
      </c>
      <c r="P331" s="95">
        <f>VLOOKUP(A:A,'[1]דוח כספי 31.10'!A:D,4,0)</f>
        <v>49256</v>
      </c>
      <c r="Q331" s="95">
        <v>59000</v>
      </c>
      <c r="R331" s="200"/>
      <c r="S331" s="97"/>
      <c r="T331" s="91"/>
      <c r="U331" s="85"/>
      <c r="V331" s="98"/>
      <c r="W331" s="85"/>
      <c r="X331" s="85"/>
      <c r="Y331" s="85"/>
      <c r="Z331" s="85"/>
      <c r="AA331" s="85"/>
      <c r="AB331" s="85"/>
      <c r="AC331" s="83">
        <f t="shared" si="156"/>
        <v>3744</v>
      </c>
      <c r="AD331">
        <v>0</v>
      </c>
    </row>
    <row r="332" spans="1:30" ht="15" customHeight="1">
      <c r="A332" s="93">
        <v>1844410840</v>
      </c>
      <c r="B332" s="109" t="str">
        <f t="shared" si="142"/>
        <v>840</v>
      </c>
      <c r="C332" s="109" t="str">
        <f t="shared" si="154"/>
        <v>844410</v>
      </c>
      <c r="D332" s="93" t="s">
        <v>619</v>
      </c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>
        <f>VLOOKUP(A:A,'[1]דוח כספי 31.10'!A:J,9,0)</f>
        <v>98000</v>
      </c>
      <c r="P332" s="95">
        <f>VLOOKUP(A:A,'[1]דוח כספי 31.10'!A:D,4,0)</f>
        <v>79353</v>
      </c>
      <c r="Q332" s="95">
        <v>95000</v>
      </c>
      <c r="R332" s="200"/>
      <c r="S332" s="97"/>
      <c r="T332" s="91"/>
      <c r="U332" s="85"/>
      <c r="V332" s="98"/>
      <c r="W332" s="85"/>
      <c r="X332" s="85"/>
      <c r="Y332" s="85"/>
      <c r="Z332" s="85"/>
      <c r="AA332" s="85"/>
      <c r="AB332" s="85"/>
      <c r="AC332" s="83">
        <f t="shared" si="156"/>
        <v>18647</v>
      </c>
      <c r="AD332">
        <v>0</v>
      </c>
    </row>
    <row r="333" spans="1:30" ht="15" customHeight="1">
      <c r="A333" s="201"/>
      <c r="B333" s="201"/>
      <c r="C333" s="201"/>
      <c r="D333" s="202" t="s">
        <v>620</v>
      </c>
      <c r="E333" s="203" t="e">
        <f>SUM(#REF!)</f>
        <v>#REF!</v>
      </c>
      <c r="F333" s="203" t="e">
        <f>SUM(#REF!)</f>
        <v>#REF!</v>
      </c>
      <c r="G333" s="203" t="e">
        <f>SUM(#REF!)</f>
        <v>#REF!</v>
      </c>
      <c r="H333" s="203" t="e">
        <f>SUM(#REF!)</f>
        <v>#REF!</v>
      </c>
      <c r="I333" s="203" t="e">
        <f>SUM(#REF!)</f>
        <v>#REF!</v>
      </c>
      <c r="J333" s="203" t="e">
        <f>SUM(#REF!)</f>
        <v>#REF!</v>
      </c>
      <c r="K333" s="203" t="e">
        <f>SUM(#REF!)</f>
        <v>#REF!</v>
      </c>
      <c r="L333" s="203" t="e">
        <f>SUM(#REF!)</f>
        <v>#REF!</v>
      </c>
      <c r="M333" s="203" t="e">
        <f>SUM(#REF!)</f>
        <v>#REF!</v>
      </c>
      <c r="N333" s="203" t="e">
        <f>SUM(#REF!)</f>
        <v>#REF!</v>
      </c>
      <c r="O333" s="203">
        <f>SUM(O328:O332)</f>
        <v>234000</v>
      </c>
      <c r="P333" s="203">
        <f t="shared" ref="P333:R333" si="157">SUM(P328:P332)</f>
        <v>196111.55</v>
      </c>
      <c r="Q333" s="203">
        <f t="shared" si="157"/>
        <v>244000</v>
      </c>
      <c r="R333" s="203">
        <f t="shared" si="157"/>
        <v>0</v>
      </c>
      <c r="S333" s="205"/>
      <c r="T333" s="91"/>
      <c r="U333" s="85">
        <f>IF(ISBLANK(A333),1,--OR(K333&gt;1,L333&gt;1,M333&gt;1))</f>
        <v>1</v>
      </c>
      <c r="V333" s="98">
        <v>0</v>
      </c>
      <c r="W333" s="85"/>
      <c r="X333" s="85"/>
      <c r="Y333" s="85"/>
      <c r="Z333" s="85"/>
      <c r="AA333" s="85"/>
      <c r="AB333" s="85"/>
      <c r="AC333" s="83">
        <f t="shared" si="156"/>
        <v>37888.450000000012</v>
      </c>
      <c r="AD333">
        <v>0</v>
      </c>
    </row>
    <row r="334" spans="1:30" ht="15" customHeight="1">
      <c r="A334" s="93">
        <v>1845100840</v>
      </c>
      <c r="B334" s="109" t="str">
        <f t="shared" si="142"/>
        <v>840</v>
      </c>
      <c r="C334" s="109" t="str">
        <f t="shared" ref="C334:C340" si="158">MID(A334,2,6)</f>
        <v>845100</v>
      </c>
      <c r="D334" s="93" t="s">
        <v>297</v>
      </c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>
        <f>VLOOKUP(A:A,'[1]דוח כספי 31.10'!A:J,9,0)</f>
        <v>560000</v>
      </c>
      <c r="P334" s="95">
        <f>VLOOKUP(A:A,'[1]דוח כספי 31.10'!A:D,4,0)</f>
        <v>597296</v>
      </c>
      <c r="Q334" s="95">
        <v>717000</v>
      </c>
      <c r="R334" s="200"/>
      <c r="S334" s="97"/>
      <c r="T334" s="91"/>
      <c r="U334" s="85"/>
      <c r="V334" s="98"/>
      <c r="W334" s="85"/>
      <c r="X334" s="85"/>
      <c r="Y334" s="85"/>
      <c r="Z334" s="85"/>
      <c r="AA334" s="85"/>
      <c r="AB334" s="85"/>
      <c r="AC334" s="83">
        <f t="shared" si="156"/>
        <v>-37296</v>
      </c>
    </row>
    <row r="335" spans="1:30" ht="15" customHeight="1">
      <c r="A335" s="93">
        <v>1845110840</v>
      </c>
      <c r="B335" s="109" t="str">
        <f t="shared" si="142"/>
        <v>840</v>
      </c>
      <c r="C335" s="109" t="str">
        <f t="shared" si="158"/>
        <v>845110</v>
      </c>
      <c r="D335" s="93" t="s">
        <v>621</v>
      </c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>
        <f>VLOOKUP(A:A,'[1]דוח כספי 31.10'!A:J,9,0)</f>
        <v>736000</v>
      </c>
      <c r="P335" s="95">
        <f>VLOOKUP(A:A,'[1]דוח כספי 31.10'!A:D,4,0)</f>
        <v>551862</v>
      </c>
      <c r="Q335" s="95">
        <v>662000</v>
      </c>
      <c r="R335" s="200"/>
      <c r="S335" s="97"/>
      <c r="T335" s="91"/>
      <c r="U335" s="85"/>
      <c r="V335" s="98"/>
      <c r="W335" s="85"/>
      <c r="X335" s="85"/>
      <c r="Y335" s="85"/>
      <c r="Z335" s="85"/>
      <c r="AA335" s="85"/>
      <c r="AB335" s="85"/>
      <c r="AC335" s="83">
        <f t="shared" si="156"/>
        <v>184138</v>
      </c>
    </row>
    <row r="336" spans="1:30" ht="15" customHeight="1">
      <c r="A336" s="93">
        <v>1845120840</v>
      </c>
      <c r="B336" s="109" t="str">
        <f t="shared" si="142"/>
        <v>840</v>
      </c>
      <c r="C336" s="109" t="str">
        <f t="shared" si="158"/>
        <v>845120</v>
      </c>
      <c r="D336" s="93" t="s">
        <v>622</v>
      </c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>
        <f>VLOOKUP(A:A,'[1]דוח כספי 31.10'!A:J,9,0)</f>
        <v>612000</v>
      </c>
      <c r="P336" s="95">
        <f>VLOOKUP(A:A,'[1]דוח כספי 31.10'!A:D,4,0)</f>
        <v>552647</v>
      </c>
      <c r="Q336" s="95">
        <v>663000</v>
      </c>
      <c r="R336" s="200"/>
      <c r="S336" s="97"/>
      <c r="T336" s="91"/>
      <c r="U336" s="85"/>
      <c r="V336" s="98"/>
      <c r="W336" s="85"/>
      <c r="X336" s="85"/>
      <c r="Y336" s="85"/>
      <c r="Z336" s="85"/>
      <c r="AA336" s="85"/>
      <c r="AB336" s="85"/>
      <c r="AC336" s="83">
        <f t="shared" si="156"/>
        <v>59353</v>
      </c>
    </row>
    <row r="337" spans="1:29" ht="15" customHeight="1">
      <c r="A337" s="93">
        <v>1845200840</v>
      </c>
      <c r="B337" s="109" t="str">
        <f t="shared" si="142"/>
        <v>840</v>
      </c>
      <c r="C337" s="109" t="str">
        <f t="shared" si="158"/>
        <v>845200</v>
      </c>
      <c r="D337" s="93" t="s">
        <v>623</v>
      </c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>
        <f>VLOOKUP(A:A,'[1]דוח כספי 31.10'!A:J,9,0)</f>
        <v>94000</v>
      </c>
      <c r="P337" s="95">
        <f>VLOOKUP(A:A,'[1]דוח כספי 31.10'!A:D,4,0)</f>
        <v>50232</v>
      </c>
      <c r="Q337" s="95">
        <v>60000</v>
      </c>
      <c r="R337" s="200"/>
      <c r="S337" s="97"/>
      <c r="T337" s="91"/>
      <c r="U337" s="85"/>
      <c r="V337" s="98"/>
      <c r="W337" s="85"/>
      <c r="X337" s="85"/>
      <c r="Y337" s="85"/>
      <c r="Z337" s="85"/>
      <c r="AA337" s="85"/>
      <c r="AB337" s="85"/>
      <c r="AC337" s="83">
        <f t="shared" si="156"/>
        <v>43768</v>
      </c>
    </row>
    <row r="338" spans="1:29" ht="15" customHeight="1">
      <c r="A338" s="93">
        <v>1845210840</v>
      </c>
      <c r="B338" s="109" t="str">
        <f t="shared" si="142"/>
        <v>840</v>
      </c>
      <c r="C338" s="109" t="str">
        <f t="shared" si="158"/>
        <v>845210</v>
      </c>
      <c r="D338" s="93" t="s">
        <v>624</v>
      </c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>
        <f>VLOOKUP(A:A,'[1]דוח כספי 31.10'!A:J,9,0)</f>
        <v>0</v>
      </c>
      <c r="P338" s="95">
        <f>VLOOKUP(A:A,'[1]דוח כספי 31.10'!A:D,4,0)</f>
        <v>0</v>
      </c>
      <c r="Q338" s="95">
        <f t="shared" ref="Q338" si="159">P338/10*12</f>
        <v>0</v>
      </c>
      <c r="R338" s="200"/>
      <c r="S338" s="97"/>
      <c r="T338" s="91"/>
      <c r="U338" s="85"/>
      <c r="V338" s="98"/>
      <c r="W338" s="85"/>
      <c r="X338" s="85"/>
      <c r="Y338" s="85"/>
      <c r="Z338" s="85"/>
      <c r="AA338" s="85"/>
      <c r="AB338" s="85"/>
      <c r="AC338" s="83">
        <f t="shared" si="156"/>
        <v>0</v>
      </c>
    </row>
    <row r="339" spans="1:29" ht="15" customHeight="1">
      <c r="A339" s="93">
        <v>1845300840</v>
      </c>
      <c r="B339" s="109" t="str">
        <f t="shared" si="142"/>
        <v>840</v>
      </c>
      <c r="C339" s="109" t="str">
        <f t="shared" si="158"/>
        <v>845300</v>
      </c>
      <c r="D339" s="93" t="s">
        <v>301</v>
      </c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>
        <f>VLOOKUP(A:A,'[1]דוח כספי 31.10'!A:J,9,0)</f>
        <v>0</v>
      </c>
      <c r="P339" s="95">
        <f>VLOOKUP(A:A,'[1]דוח כספי 31.10'!A:D,4,0)</f>
        <v>3550</v>
      </c>
      <c r="Q339" s="95">
        <v>4000</v>
      </c>
      <c r="R339" s="200"/>
      <c r="S339" s="97"/>
      <c r="T339" s="91"/>
      <c r="U339" s="85"/>
      <c r="V339" s="98"/>
      <c r="W339" s="85"/>
      <c r="X339" s="85"/>
      <c r="Y339" s="85"/>
      <c r="Z339" s="85"/>
      <c r="AA339" s="85"/>
      <c r="AB339" s="85"/>
      <c r="AC339" s="83">
        <f t="shared" si="156"/>
        <v>-3550</v>
      </c>
    </row>
    <row r="340" spans="1:29" ht="15" customHeight="1">
      <c r="A340" s="93">
        <v>1845500840</v>
      </c>
      <c r="B340" s="109" t="str">
        <f t="shared" si="142"/>
        <v>840</v>
      </c>
      <c r="C340" s="109" t="str">
        <f t="shared" si="158"/>
        <v>845500</v>
      </c>
      <c r="D340" s="93" t="s">
        <v>269</v>
      </c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>
        <f>VLOOKUP(A:A,'[1]דוח כספי 31.10'!A:J,9,0)</f>
        <v>122000</v>
      </c>
      <c r="P340" s="95">
        <f>VLOOKUP(A:A,'[1]דוח כספי 31.10'!A:D,4,0)</f>
        <v>85401</v>
      </c>
      <c r="Q340" s="95">
        <v>103000</v>
      </c>
      <c r="R340" s="200"/>
      <c r="S340" s="97"/>
      <c r="T340" s="91"/>
      <c r="U340" s="85"/>
      <c r="V340" s="98"/>
      <c r="W340" s="85"/>
      <c r="X340" s="85"/>
      <c r="Y340" s="85"/>
      <c r="Z340" s="85"/>
      <c r="AA340" s="85"/>
      <c r="AB340" s="85"/>
      <c r="AC340" s="83">
        <f t="shared" si="156"/>
        <v>36599</v>
      </c>
    </row>
    <row r="341" spans="1:29" ht="15" customHeight="1">
      <c r="A341" s="201"/>
      <c r="B341" s="201"/>
      <c r="C341" s="201"/>
      <c r="D341" s="202" t="s">
        <v>625</v>
      </c>
      <c r="E341" s="203" t="e">
        <f>SUM(#REF!)</f>
        <v>#REF!</v>
      </c>
      <c r="F341" s="203" t="e">
        <f>SUM(#REF!)</f>
        <v>#REF!</v>
      </c>
      <c r="G341" s="203" t="e">
        <f>SUM(#REF!)</f>
        <v>#REF!</v>
      </c>
      <c r="H341" s="203" t="e">
        <f>SUM(#REF!)</f>
        <v>#REF!</v>
      </c>
      <c r="I341" s="203" t="e">
        <f>SUM(#REF!)</f>
        <v>#REF!</v>
      </c>
      <c r="J341" s="203" t="e">
        <f>SUM(#REF!)</f>
        <v>#REF!</v>
      </c>
      <c r="K341" s="203" t="e">
        <f>SUM(#REF!)</f>
        <v>#REF!</v>
      </c>
      <c r="L341" s="203" t="e">
        <f>SUM(#REF!)</f>
        <v>#REF!</v>
      </c>
      <c r="M341" s="203" t="e">
        <f>SUM(#REF!)</f>
        <v>#REF!</v>
      </c>
      <c r="N341" s="203" t="e">
        <f>SUM(#REF!)</f>
        <v>#REF!</v>
      </c>
      <c r="O341" s="203">
        <f>SUM(O334:O340)</f>
        <v>2124000</v>
      </c>
      <c r="P341" s="203">
        <f t="shared" ref="P341:R341" si="160">SUM(P334:P340)</f>
        <v>1840988</v>
      </c>
      <c r="Q341" s="203">
        <f t="shared" si="160"/>
        <v>2209000</v>
      </c>
      <c r="R341" s="203">
        <f t="shared" si="160"/>
        <v>0</v>
      </c>
      <c r="S341" s="205"/>
      <c r="T341" s="91"/>
      <c r="U341" s="85">
        <f>IF(ISBLANK(A341),1,--OR(K341&gt;1,L341&gt;1,M341&gt;1))</f>
        <v>1</v>
      </c>
      <c r="V341" s="98">
        <v>0</v>
      </c>
      <c r="W341" s="85"/>
      <c r="X341" s="85"/>
      <c r="Y341" s="85"/>
      <c r="Z341" s="85"/>
      <c r="AA341" s="85"/>
      <c r="AB341" s="85"/>
      <c r="AC341" s="83">
        <f t="shared" si="156"/>
        <v>283012</v>
      </c>
    </row>
    <row r="342" spans="1:29" ht="15" customHeight="1">
      <c r="A342" s="93">
        <v>1846300840</v>
      </c>
      <c r="B342" s="109" t="str">
        <f t="shared" si="142"/>
        <v>840</v>
      </c>
      <c r="C342" s="109" t="str">
        <f t="shared" ref="C342:C349" si="161">MID(A342,2,6)</f>
        <v>846300</v>
      </c>
      <c r="D342" s="93" t="s">
        <v>626</v>
      </c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>
        <f>VLOOKUP(A:A,'[1]דוח כספי 31.10'!A:J,9,0)</f>
        <v>13000</v>
      </c>
      <c r="P342" s="95">
        <f>VLOOKUP(A:A,'[1]דוח כספי 31.10'!A:D,4,0)</f>
        <v>10714</v>
      </c>
      <c r="Q342" s="95">
        <v>13000</v>
      </c>
      <c r="R342" s="200"/>
      <c r="S342" s="97"/>
      <c r="T342" s="91"/>
      <c r="U342" s="85"/>
      <c r="V342" s="98"/>
      <c r="W342" s="85"/>
      <c r="X342" s="85"/>
      <c r="Y342" s="85"/>
      <c r="Z342" s="85"/>
      <c r="AA342" s="85"/>
      <c r="AB342" s="85"/>
      <c r="AC342" s="83">
        <f t="shared" si="156"/>
        <v>2286</v>
      </c>
    </row>
    <row r="343" spans="1:29" ht="15" customHeight="1">
      <c r="A343" s="93">
        <v>1846310840</v>
      </c>
      <c r="B343" s="109" t="str">
        <f t="shared" si="142"/>
        <v>840</v>
      </c>
      <c r="C343" s="109" t="str">
        <f t="shared" si="161"/>
        <v>846310</v>
      </c>
      <c r="D343" s="93" t="s">
        <v>627</v>
      </c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>
        <f>VLOOKUP(A:A,'[1]דוח כספי 31.10'!A:J,9,0)</f>
        <v>0</v>
      </c>
      <c r="P343" s="95">
        <f>VLOOKUP(A:A,'[1]דוח כספי 31.10'!A:D,4,0)</f>
        <v>0</v>
      </c>
      <c r="Q343" s="95">
        <f t="shared" ref="Q343:Q344" si="162">P343/10*12</f>
        <v>0</v>
      </c>
      <c r="R343" s="200"/>
      <c r="S343" s="97"/>
      <c r="T343" s="91"/>
      <c r="U343" s="85"/>
      <c r="V343" s="98"/>
      <c r="W343" s="85"/>
      <c r="X343" s="85"/>
      <c r="Y343" s="85"/>
      <c r="Z343" s="85"/>
      <c r="AA343" s="85"/>
      <c r="AB343" s="85"/>
      <c r="AC343" s="83">
        <f t="shared" si="156"/>
        <v>0</v>
      </c>
    </row>
    <row r="344" spans="1:29" ht="15" customHeight="1">
      <c r="A344" s="93">
        <v>1846350840</v>
      </c>
      <c r="B344" s="109" t="str">
        <f t="shared" si="142"/>
        <v>840</v>
      </c>
      <c r="C344" s="109" t="str">
        <f t="shared" si="161"/>
        <v>846350</v>
      </c>
      <c r="D344" s="93" t="s">
        <v>628</v>
      </c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>
        <f>VLOOKUP(A:A,'[1]דוח כספי 31.10'!A:J,9,0)</f>
        <v>0</v>
      </c>
      <c r="P344" s="95">
        <f>VLOOKUP(A:A,'[1]דוח כספי 31.10'!A:D,4,0)</f>
        <v>0</v>
      </c>
      <c r="Q344" s="95">
        <f t="shared" si="162"/>
        <v>0</v>
      </c>
      <c r="R344" s="200"/>
      <c r="S344" s="97"/>
      <c r="T344" s="91"/>
      <c r="U344" s="85"/>
      <c r="V344" s="98"/>
      <c r="W344" s="85"/>
      <c r="X344" s="85"/>
      <c r="Y344" s="85"/>
      <c r="Z344" s="85"/>
      <c r="AA344" s="85"/>
      <c r="AB344" s="85"/>
      <c r="AC344" s="83">
        <f t="shared" si="156"/>
        <v>0</v>
      </c>
    </row>
    <row r="345" spans="1:29" ht="15" customHeight="1">
      <c r="A345" s="93">
        <v>1846600840</v>
      </c>
      <c r="B345" s="109" t="str">
        <f t="shared" si="142"/>
        <v>840</v>
      </c>
      <c r="C345" s="109" t="str">
        <f t="shared" si="161"/>
        <v>846600</v>
      </c>
      <c r="D345" s="93" t="s">
        <v>629</v>
      </c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>
        <f>VLOOKUP(A:A,'[1]דוח כספי 31.10'!A:J,9,0)</f>
        <v>0</v>
      </c>
      <c r="P345" s="95">
        <f>VLOOKUP(A:A,'[1]דוח כספי 31.10'!A:D,4,0)</f>
        <v>27181</v>
      </c>
      <c r="Q345" s="95">
        <v>33000</v>
      </c>
      <c r="R345" s="200"/>
      <c r="S345" s="97"/>
      <c r="T345" s="91"/>
      <c r="U345" s="85"/>
      <c r="V345" s="98"/>
      <c r="W345" s="85"/>
      <c r="X345" s="85"/>
      <c r="Y345" s="85"/>
      <c r="Z345" s="85"/>
      <c r="AA345" s="85"/>
      <c r="AB345" s="85"/>
      <c r="AC345" s="83">
        <f t="shared" si="156"/>
        <v>-27181</v>
      </c>
    </row>
    <row r="346" spans="1:29" ht="15" customHeight="1">
      <c r="A346" s="93">
        <v>1846610810</v>
      </c>
      <c r="B346" s="109" t="str">
        <f t="shared" si="142"/>
        <v>810</v>
      </c>
      <c r="C346" s="109" t="str">
        <f t="shared" si="161"/>
        <v>846610</v>
      </c>
      <c r="D346" s="93" t="s">
        <v>630</v>
      </c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>
        <f>VLOOKUP(A:A,'[1]דוח כספי 31.10'!A:J,9,0)</f>
        <v>100000</v>
      </c>
      <c r="P346" s="95">
        <f>VLOOKUP(A:A,'[1]דוח כספי 31.10'!A:D,4,0)</f>
        <v>80924</v>
      </c>
      <c r="Q346" s="95">
        <v>97000</v>
      </c>
      <c r="R346" s="200"/>
      <c r="S346" s="97"/>
      <c r="T346" s="91"/>
      <c r="U346" s="85"/>
      <c r="V346" s="98"/>
      <c r="W346" s="85"/>
      <c r="X346" s="85"/>
      <c r="Y346" s="85"/>
      <c r="Z346" s="85"/>
      <c r="AA346" s="85"/>
      <c r="AB346" s="85"/>
      <c r="AC346" s="83">
        <f t="shared" si="156"/>
        <v>19076</v>
      </c>
    </row>
    <row r="347" spans="1:29" ht="15" customHeight="1">
      <c r="A347" s="93">
        <v>1846610840</v>
      </c>
      <c r="B347" s="109" t="str">
        <f t="shared" si="142"/>
        <v>840</v>
      </c>
      <c r="C347" s="109" t="str">
        <f t="shared" si="161"/>
        <v>846610</v>
      </c>
      <c r="D347" s="93" t="s">
        <v>631</v>
      </c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>
        <f>VLOOKUP(A:A,'[1]דוח כספי 31.10'!A:J,9,0)</f>
        <v>0</v>
      </c>
      <c r="P347" s="95">
        <f>VLOOKUP(A:A,'[1]דוח כספי 31.10'!A:D,4,0)</f>
        <v>13026</v>
      </c>
      <c r="Q347" s="95">
        <v>16000</v>
      </c>
      <c r="R347" s="200"/>
      <c r="S347" s="97"/>
      <c r="T347" s="91"/>
      <c r="U347" s="85"/>
      <c r="V347" s="98"/>
      <c r="W347" s="85"/>
      <c r="X347" s="85"/>
      <c r="Y347" s="85"/>
      <c r="Z347" s="85"/>
      <c r="AA347" s="85"/>
      <c r="AB347" s="85"/>
      <c r="AC347" s="83">
        <f t="shared" si="156"/>
        <v>-13026</v>
      </c>
    </row>
    <row r="348" spans="1:29" ht="15" customHeight="1">
      <c r="A348" s="93">
        <v>1846800810</v>
      </c>
      <c r="B348" s="109" t="str">
        <f t="shared" si="142"/>
        <v>810</v>
      </c>
      <c r="C348" s="109" t="str">
        <f t="shared" si="161"/>
        <v>846800</v>
      </c>
      <c r="D348" s="93" t="s">
        <v>315</v>
      </c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>
        <f>VLOOKUP(A:A,'[1]דוח כספי 31.10'!A:J,9,0)</f>
        <v>17000</v>
      </c>
      <c r="P348" s="95">
        <f>VLOOKUP(A:A,'[1]דוח כספי 31.10'!A:D,4,0)</f>
        <v>48160</v>
      </c>
      <c r="Q348" s="95">
        <v>58000</v>
      </c>
      <c r="R348" s="200"/>
      <c r="S348" s="97"/>
      <c r="T348" s="91"/>
      <c r="U348" s="85"/>
      <c r="V348" s="98"/>
      <c r="W348" s="85"/>
      <c r="X348" s="85"/>
      <c r="Y348" s="85"/>
      <c r="Z348" s="85"/>
      <c r="AA348" s="85"/>
      <c r="AB348" s="85"/>
      <c r="AC348" s="83">
        <f t="shared" si="156"/>
        <v>-31160</v>
      </c>
    </row>
    <row r="349" spans="1:29" ht="15" customHeight="1">
      <c r="A349" s="93">
        <v>1846800840</v>
      </c>
      <c r="B349" s="109" t="str">
        <f t="shared" si="142"/>
        <v>840</v>
      </c>
      <c r="C349" s="109" t="str">
        <f t="shared" si="161"/>
        <v>846800</v>
      </c>
      <c r="D349" s="93" t="s">
        <v>632</v>
      </c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>
        <f>VLOOKUP(A:A,'[1]דוח כספי 31.10'!A:J,9,0)</f>
        <v>217000</v>
      </c>
      <c r="P349" s="95">
        <f>VLOOKUP(A:A,'[1]דוח כספי 31.10'!A:D,4,0)</f>
        <v>253325</v>
      </c>
      <c r="Q349" s="95">
        <v>304000</v>
      </c>
      <c r="R349" s="200"/>
      <c r="S349" s="97"/>
      <c r="T349" s="91"/>
      <c r="U349" s="85"/>
      <c r="V349" s="98"/>
      <c r="W349" s="85"/>
      <c r="X349" s="85"/>
      <c r="Y349" s="85"/>
      <c r="Z349" s="85"/>
      <c r="AA349" s="85"/>
      <c r="AB349" s="85"/>
      <c r="AC349" s="83">
        <f t="shared" si="156"/>
        <v>-36325</v>
      </c>
    </row>
    <row r="350" spans="1:29" ht="15" customHeight="1">
      <c r="A350" s="216"/>
      <c r="B350" s="201"/>
      <c r="C350" s="201"/>
      <c r="D350" s="202" t="s">
        <v>633</v>
      </c>
      <c r="E350" s="203" t="e">
        <f>SUM(#REF!)</f>
        <v>#REF!</v>
      </c>
      <c r="F350" s="203" t="e">
        <f>SUM(#REF!)</f>
        <v>#REF!</v>
      </c>
      <c r="G350" s="203" t="e">
        <f>SUM(#REF!)</f>
        <v>#REF!</v>
      </c>
      <c r="H350" s="203" t="e">
        <f>SUM(#REF!)</f>
        <v>#REF!</v>
      </c>
      <c r="I350" s="203" t="e">
        <f>SUM(#REF!)</f>
        <v>#REF!</v>
      </c>
      <c r="J350" s="203" t="e">
        <f>SUM(#REF!)</f>
        <v>#REF!</v>
      </c>
      <c r="K350" s="203" t="e">
        <f>SUM(#REF!)</f>
        <v>#REF!</v>
      </c>
      <c r="L350" s="203" t="e">
        <f>SUM(#REF!)</f>
        <v>#REF!</v>
      </c>
      <c r="M350" s="203" t="e">
        <f>SUM(#REF!)</f>
        <v>#REF!</v>
      </c>
      <c r="N350" s="203" t="e">
        <f>SUM(#REF!)</f>
        <v>#REF!</v>
      </c>
      <c r="O350" s="203">
        <f>SUM(O342:O349)</f>
        <v>347000</v>
      </c>
      <c r="P350" s="203">
        <f t="shared" ref="P350:R350" si="163">SUM(P342:P349)</f>
        <v>433330</v>
      </c>
      <c r="Q350" s="203">
        <f t="shared" si="163"/>
        <v>521000</v>
      </c>
      <c r="R350" s="203">
        <f t="shared" si="163"/>
        <v>0</v>
      </c>
      <c r="S350" s="205"/>
      <c r="T350" s="91"/>
      <c r="U350" s="85">
        <f>IF(ISBLANK(A350),1,--OR(K350&gt;1,L350&gt;1,M350&gt;1))</f>
        <v>1</v>
      </c>
      <c r="V350" s="98">
        <v>0</v>
      </c>
      <c r="W350" s="85"/>
      <c r="X350" s="85"/>
      <c r="Y350" s="85"/>
      <c r="Z350" s="85"/>
      <c r="AA350" s="85"/>
      <c r="AB350" s="85"/>
      <c r="AC350" s="83">
        <f t="shared" si="156"/>
        <v>-86330</v>
      </c>
    </row>
    <row r="351" spans="1:29" ht="15" customHeight="1">
      <c r="A351" s="217"/>
      <c r="B351" s="211"/>
      <c r="C351" s="211"/>
      <c r="D351" s="212" t="s">
        <v>324</v>
      </c>
      <c r="E351" s="213" t="e">
        <f>#REF!+E350+E341+E333+E327+E321+E308</f>
        <v>#REF!</v>
      </c>
      <c r="F351" s="213" t="e">
        <f>#REF!+F350+F341+F333+F327+F321+F308</f>
        <v>#REF!</v>
      </c>
      <c r="G351" s="213" t="e">
        <f>#REF!+G350+G341+G333+G327+G321+G308</f>
        <v>#REF!</v>
      </c>
      <c r="H351" s="213" t="e">
        <f>#REF!+H350+H341+H333+H327+H321+H308</f>
        <v>#REF!</v>
      </c>
      <c r="I351" s="213" t="e">
        <f>#REF!+I350+I341+I333+I327+I321+I308</f>
        <v>#REF!</v>
      </c>
      <c r="J351" s="213" t="e">
        <f>#REF!+J350+J341+J333+J327+J321+J308</f>
        <v>#REF!</v>
      </c>
      <c r="K351" s="213" t="e">
        <f>#REF!+K350+K341+K333+K327+K321+K308</f>
        <v>#REF!</v>
      </c>
      <c r="L351" s="213" t="e">
        <f>#REF!+L350+L341+L333+L327+L321+L308</f>
        <v>#REF!</v>
      </c>
      <c r="M351" s="213" t="e">
        <f>#REF!+M350+M341+M333+M327+M321+M308</f>
        <v>#REF!</v>
      </c>
      <c r="N351" s="213" t="e">
        <f>#REF!+N350+N341+N333+N327+N321+N308</f>
        <v>#REF!</v>
      </c>
      <c r="O351" s="213">
        <f>O350+O341+O333+O327+O321+O308</f>
        <v>7862000</v>
      </c>
      <c r="P351" s="213">
        <f t="shared" ref="P351:R351" si="164">P350+P341+P333+P327+P321+P308</f>
        <v>6934758.6999999993</v>
      </c>
      <c r="Q351" s="213">
        <f t="shared" si="164"/>
        <v>8689000</v>
      </c>
      <c r="R351" s="213">
        <f t="shared" si="164"/>
        <v>0</v>
      </c>
      <c r="S351" s="214"/>
      <c r="T351" s="91"/>
      <c r="U351" s="85">
        <f>IF(ISBLANK(A351),1,--OR(K351&gt;1,L351&gt;1,M351&gt;1))</f>
        <v>1</v>
      </c>
      <c r="V351" s="98">
        <v>0</v>
      </c>
      <c r="W351" s="85"/>
      <c r="X351" s="85"/>
      <c r="Y351" s="85"/>
      <c r="Z351" s="85"/>
      <c r="AA351" s="85"/>
      <c r="AB351" s="85"/>
      <c r="AC351" s="83">
        <f t="shared" si="156"/>
        <v>927241.30000000075</v>
      </c>
    </row>
    <row r="352" spans="1:29" ht="15" customHeight="1">
      <c r="A352" s="218"/>
      <c r="B352" s="87" t="s">
        <v>634</v>
      </c>
      <c r="C352" s="87"/>
      <c r="D352" s="87"/>
      <c r="E352" s="87"/>
      <c r="F352" s="87"/>
      <c r="G352" s="87"/>
      <c r="H352" s="88"/>
      <c r="I352" s="95"/>
      <c r="J352" s="124"/>
      <c r="K352" s="124"/>
      <c r="L352" s="124"/>
      <c r="M352" s="124"/>
      <c r="N352" s="95"/>
      <c r="O352" s="124"/>
      <c r="P352" s="124"/>
      <c r="Q352" s="95">
        <f t="shared" ref="Q352:Q357" si="165">P352/10*12</f>
        <v>0</v>
      </c>
      <c r="R352" s="198"/>
      <c r="S352" s="90"/>
      <c r="T352" s="91"/>
      <c r="U352" s="85">
        <f>IF(ISBLANK(A352),1,--OR(K352&gt;1,L352&gt;1,M352&gt;1))</f>
        <v>1</v>
      </c>
      <c r="V352" s="98">
        <f>+P352-M352</f>
        <v>0</v>
      </c>
      <c r="W352" s="85"/>
      <c r="X352" s="85"/>
      <c r="Y352" s="85"/>
      <c r="Z352" s="85"/>
      <c r="AA352" s="85"/>
      <c r="AB352" s="85"/>
      <c r="AC352" s="83">
        <f t="shared" si="156"/>
        <v>0</v>
      </c>
    </row>
    <row r="353" spans="1:29" ht="15" customHeight="1">
      <c r="A353" s="93">
        <v>1850000431</v>
      </c>
      <c r="B353" s="109" t="str">
        <f t="shared" ref="B353:B357" si="166">MID(A353,8,3)</f>
        <v>431</v>
      </c>
      <c r="C353" s="109" t="str">
        <f t="shared" ref="C353:C357" si="167">MID(A353,2,6)</f>
        <v>850000</v>
      </c>
      <c r="D353" s="93" t="s">
        <v>635</v>
      </c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>
        <f>VLOOKUP(A:A,'[1]דוח כספי 31.10'!A:J,9,0)</f>
        <v>96000</v>
      </c>
      <c r="P353" s="95">
        <f>VLOOKUP(A:A,'[1]דוח כספי 31.10'!A:D,4,0)</f>
        <v>61587.82</v>
      </c>
      <c r="Q353" s="95">
        <v>74000</v>
      </c>
      <c r="R353" s="200"/>
      <c r="S353" s="97"/>
      <c r="T353" s="91"/>
      <c r="U353" s="85"/>
      <c r="V353" s="98"/>
      <c r="W353" s="85"/>
      <c r="X353" s="85"/>
      <c r="Y353" s="85"/>
      <c r="Z353" s="85"/>
      <c r="AA353" s="85"/>
      <c r="AB353" s="85"/>
      <c r="AC353" s="83">
        <f t="shared" si="156"/>
        <v>34412.18</v>
      </c>
    </row>
    <row r="354" spans="1:29" ht="15" customHeight="1">
      <c r="A354" s="207">
        <v>1853000432</v>
      </c>
      <c r="B354" s="208" t="str">
        <f t="shared" si="166"/>
        <v>432</v>
      </c>
      <c r="C354" s="208" t="str">
        <f t="shared" si="167"/>
        <v>853000</v>
      </c>
      <c r="D354" s="207" t="s">
        <v>691</v>
      </c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209">
        <f>VLOOKUP(A:A,'[1]דוח כספי 31.10'!A:J,9,0)</f>
        <v>38000</v>
      </c>
      <c r="P354" s="95">
        <f>VLOOKUP(A:A,'[1]דוח כספי 31.10'!A:D,4,0)</f>
        <v>0</v>
      </c>
      <c r="Q354" s="209">
        <v>46000</v>
      </c>
      <c r="R354" s="200"/>
      <c r="S354" s="97"/>
      <c r="T354" s="91"/>
      <c r="U354" s="85"/>
      <c r="V354" s="98"/>
      <c r="W354" s="85"/>
      <c r="X354" s="85"/>
      <c r="Y354" s="85"/>
      <c r="Z354" s="85"/>
      <c r="AA354" s="85"/>
      <c r="AB354" s="85"/>
      <c r="AC354" s="83">
        <f t="shared" si="156"/>
        <v>38000</v>
      </c>
    </row>
    <row r="355" spans="1:29" ht="15" customHeight="1">
      <c r="A355" s="93">
        <v>1853000750</v>
      </c>
      <c r="B355" s="109" t="str">
        <f t="shared" si="166"/>
        <v>750</v>
      </c>
      <c r="C355" s="109" t="str">
        <f t="shared" si="167"/>
        <v>853000</v>
      </c>
      <c r="D355" s="93" t="s">
        <v>637</v>
      </c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>
        <f>VLOOKUP(A:A,'[1]דוח כספי 31.10'!A:J,9,0)</f>
        <v>0</v>
      </c>
      <c r="P355" s="95">
        <f>VLOOKUP(A:A,'[1]דוח כספי 31.10'!A:D,4,0)</f>
        <v>0</v>
      </c>
      <c r="Q355" s="95">
        <f t="shared" si="165"/>
        <v>0</v>
      </c>
      <c r="R355" s="200"/>
      <c r="S355" s="97"/>
      <c r="T355" s="91"/>
      <c r="U355" s="85"/>
      <c r="V355" s="98"/>
      <c r="W355" s="85"/>
      <c r="X355" s="85"/>
      <c r="Y355" s="85"/>
      <c r="Z355" s="85"/>
      <c r="AA355" s="85"/>
      <c r="AB355" s="85"/>
      <c r="AC355" s="83">
        <f t="shared" si="156"/>
        <v>0</v>
      </c>
    </row>
    <row r="356" spans="1:29" ht="15" customHeight="1">
      <c r="A356" s="93">
        <v>1853000810</v>
      </c>
      <c r="B356" s="109" t="str">
        <f t="shared" si="166"/>
        <v>810</v>
      </c>
      <c r="C356" s="109" t="str">
        <f t="shared" si="167"/>
        <v>853000</v>
      </c>
      <c r="D356" s="93" t="s">
        <v>638</v>
      </c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>
        <f>VLOOKUP(A:A,'[1]דוח כספי 31.10'!A:J,9,0)</f>
        <v>3000</v>
      </c>
      <c r="P356" s="95">
        <f>VLOOKUP(A:A,'[1]דוח כספי 31.10'!A:D,4,0)</f>
        <v>0</v>
      </c>
      <c r="Q356" s="95"/>
      <c r="R356" s="200"/>
      <c r="S356" s="97"/>
      <c r="T356" s="91"/>
      <c r="U356" s="85"/>
      <c r="V356" s="98"/>
      <c r="W356" s="85"/>
      <c r="X356" s="85"/>
      <c r="Y356" s="85"/>
      <c r="Z356" s="85"/>
      <c r="AA356" s="85"/>
      <c r="AB356" s="85"/>
      <c r="AC356" s="83">
        <f t="shared" si="156"/>
        <v>3000</v>
      </c>
    </row>
    <row r="357" spans="1:29" ht="15" customHeight="1">
      <c r="A357" s="93">
        <v>1853000820</v>
      </c>
      <c r="B357" s="109" t="str">
        <f t="shared" si="166"/>
        <v>820</v>
      </c>
      <c r="C357" s="109" t="str">
        <f t="shared" si="167"/>
        <v>853000</v>
      </c>
      <c r="D357" s="93" t="s">
        <v>639</v>
      </c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>
        <f>VLOOKUP(A:A,'[1]דוח כספי 31.10'!A:J,9,0)</f>
        <v>0</v>
      </c>
      <c r="P357" s="95">
        <f>VLOOKUP(A:A,'[1]דוח כספי 31.10'!A:D,4,0)</f>
        <v>0</v>
      </c>
      <c r="Q357" s="95">
        <f t="shared" si="165"/>
        <v>0</v>
      </c>
      <c r="R357" s="200"/>
      <c r="S357" s="97"/>
      <c r="T357" s="91"/>
      <c r="U357" s="85"/>
      <c r="V357" s="98"/>
      <c r="W357" s="85"/>
      <c r="X357" s="85"/>
      <c r="Y357" s="85"/>
      <c r="Z357" s="85"/>
      <c r="AA357" s="85"/>
      <c r="AB357" s="85"/>
      <c r="AC357" s="83">
        <f t="shared" si="156"/>
        <v>0</v>
      </c>
    </row>
    <row r="358" spans="1:29" ht="15" customHeight="1">
      <c r="A358" s="216"/>
      <c r="B358" s="211"/>
      <c r="C358" s="211"/>
      <c r="D358" s="212" t="s">
        <v>640</v>
      </c>
      <c r="E358" s="213">
        <f t="shared" ref="E358:R358" si="168">SUM(E357:E357)</f>
        <v>0</v>
      </c>
      <c r="F358" s="213">
        <f t="shared" si="168"/>
        <v>0</v>
      </c>
      <c r="G358" s="213">
        <f t="shared" si="168"/>
        <v>0</v>
      </c>
      <c r="H358" s="213">
        <f t="shared" si="168"/>
        <v>0</v>
      </c>
      <c r="I358" s="213">
        <f t="shared" si="168"/>
        <v>0</v>
      </c>
      <c r="J358" s="213">
        <f t="shared" si="168"/>
        <v>0</v>
      </c>
      <c r="K358" s="213">
        <f t="shared" si="168"/>
        <v>0</v>
      </c>
      <c r="L358" s="213">
        <f t="shared" si="168"/>
        <v>0</v>
      </c>
      <c r="M358" s="213">
        <f t="shared" si="168"/>
        <v>0</v>
      </c>
      <c r="N358" s="213">
        <f t="shared" si="168"/>
        <v>0</v>
      </c>
      <c r="O358" s="213">
        <f>SUM(O353:O357)</f>
        <v>137000</v>
      </c>
      <c r="P358" s="213">
        <f t="shared" ref="P358:Q358" si="169">SUM(P353:P357)</f>
        <v>61587.82</v>
      </c>
      <c r="Q358" s="213">
        <f t="shared" si="169"/>
        <v>120000</v>
      </c>
      <c r="R358" s="219">
        <f t="shared" si="168"/>
        <v>0</v>
      </c>
      <c r="S358" s="214"/>
      <c r="T358" s="91"/>
      <c r="U358" s="85">
        <f>IF(ISBLANK(A358),1,--OR(K358&gt;1,L358&gt;1,M358&gt;1))</f>
        <v>1</v>
      </c>
      <c r="V358" s="98">
        <f t="shared" ref="V358:V359" si="170">+P358-M358</f>
        <v>61587.82</v>
      </c>
      <c r="W358" s="85"/>
      <c r="X358" s="85"/>
      <c r="Y358" s="85"/>
      <c r="Z358" s="85"/>
      <c r="AA358" s="85"/>
      <c r="AB358" s="85"/>
      <c r="AC358" s="83">
        <f t="shared" si="156"/>
        <v>75412.179999999993</v>
      </c>
    </row>
    <row r="359" spans="1:29" ht="15" customHeight="1">
      <c r="A359" s="218"/>
      <c r="B359" s="87" t="s">
        <v>641</v>
      </c>
      <c r="C359" s="87"/>
      <c r="D359" s="87"/>
      <c r="E359" s="87"/>
      <c r="F359" s="87"/>
      <c r="G359" s="87"/>
      <c r="H359" s="88"/>
      <c r="I359" s="94"/>
      <c r="J359" s="94"/>
      <c r="K359" s="94"/>
      <c r="L359" s="136"/>
      <c r="M359" s="136"/>
      <c r="N359" s="95"/>
      <c r="O359" s="136"/>
      <c r="P359" s="136"/>
      <c r="Q359" s="95">
        <f t="shared" ref="Q359" si="171">P359/10*12</f>
        <v>0</v>
      </c>
      <c r="R359" s="198"/>
      <c r="S359" s="90"/>
      <c r="T359" s="91"/>
      <c r="U359" s="85">
        <f>IF(ISBLANK(A359),1,--OR(K359&gt;1,L359&gt;1,M359&gt;1))</f>
        <v>1</v>
      </c>
      <c r="V359" s="98">
        <f t="shared" si="170"/>
        <v>0</v>
      </c>
      <c r="W359" s="85"/>
      <c r="X359" s="85"/>
      <c r="Y359" s="85"/>
      <c r="Z359" s="85"/>
      <c r="AA359" s="85"/>
      <c r="AB359" s="85"/>
      <c r="AC359" s="83">
        <f t="shared" si="156"/>
        <v>0</v>
      </c>
    </row>
    <row r="360" spans="1:29" ht="20.25" customHeight="1">
      <c r="A360" s="93">
        <v>1912000110</v>
      </c>
      <c r="B360" s="109" t="str">
        <f t="shared" ref="B360:B388" si="172">MID(A360,8,3)</f>
        <v>110</v>
      </c>
      <c r="C360" s="109" t="str">
        <f t="shared" ref="C360:C388" si="173">MID(A360,2,6)</f>
        <v>912000</v>
      </c>
      <c r="D360" s="93" t="s">
        <v>642</v>
      </c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>
        <f>VLOOKUP(A:A,'[1]דוח כספי 31.10'!A:J,9,0)</f>
        <v>122000</v>
      </c>
      <c r="P360" s="95">
        <f>VLOOKUP(A:A,'[1]דוח כספי 31.10'!A:D,4,0)</f>
        <v>30562.35</v>
      </c>
      <c r="Q360" s="95">
        <v>41000</v>
      </c>
      <c r="R360" s="200"/>
      <c r="S360" s="97"/>
      <c r="T360" s="91"/>
      <c r="U360" s="85"/>
      <c r="V360" s="98"/>
      <c r="W360" s="85"/>
      <c r="X360" s="85"/>
      <c r="Y360" s="85"/>
      <c r="Z360" s="85"/>
      <c r="AA360" s="85"/>
      <c r="AB360" s="85"/>
      <c r="AC360"/>
    </row>
    <row r="361" spans="1:29" ht="15" customHeight="1">
      <c r="A361" s="93">
        <v>1913000540</v>
      </c>
      <c r="B361" s="109" t="str">
        <f t="shared" si="172"/>
        <v>540</v>
      </c>
      <c r="C361" s="109" t="str">
        <f t="shared" si="173"/>
        <v>913000</v>
      </c>
      <c r="D361" s="93" t="s">
        <v>438</v>
      </c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>
        <f>VLOOKUP(A:A,'[1]דוח כספי 31.10'!A:J,9,0)</f>
        <v>0</v>
      </c>
      <c r="P361" s="95">
        <f>VLOOKUP(A:A,'[1]דוח כספי 31.10'!A:D,4,0)</f>
        <v>0</v>
      </c>
      <c r="Q361" s="95">
        <f t="shared" ref="Q361" si="174">P361/10*12</f>
        <v>0</v>
      </c>
      <c r="R361" s="200"/>
      <c r="S361" s="97"/>
      <c r="T361" s="91"/>
      <c r="U361" s="85"/>
      <c r="V361" s="98"/>
      <c r="W361" s="85"/>
      <c r="X361" s="85"/>
      <c r="Y361" s="85"/>
      <c r="Z361" s="85"/>
      <c r="AA361" s="85"/>
      <c r="AB361" s="85"/>
      <c r="AC361" s="83">
        <f t="shared" ref="AC361:AC363" si="175">O361-P361</f>
        <v>0</v>
      </c>
    </row>
    <row r="362" spans="1:29" ht="15" customHeight="1">
      <c r="A362" s="93">
        <v>1913000732</v>
      </c>
      <c r="B362" s="109" t="str">
        <f t="shared" si="172"/>
        <v>732</v>
      </c>
      <c r="C362" s="109" t="str">
        <f t="shared" si="173"/>
        <v>913000</v>
      </c>
      <c r="D362" s="93" t="s">
        <v>643</v>
      </c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>
        <f>VLOOKUP(A:A,'[1]דוח כספי 31.10'!A:J,9,0)</f>
        <v>14000</v>
      </c>
      <c r="P362" s="95">
        <f>VLOOKUP(A:A,'[1]דוח כספי 31.10'!A:D,4,0)</f>
        <v>7348.9</v>
      </c>
      <c r="Q362" s="95">
        <v>9000</v>
      </c>
      <c r="R362" s="200"/>
      <c r="S362" s="97"/>
      <c r="T362" s="91"/>
      <c r="U362" s="85"/>
      <c r="V362" s="98"/>
      <c r="W362" s="85"/>
      <c r="X362" s="85"/>
      <c r="Y362" s="85"/>
      <c r="Z362" s="85"/>
      <c r="AA362" s="85"/>
      <c r="AB362" s="85"/>
      <c r="AC362" s="83">
        <f t="shared" si="175"/>
        <v>6651.1</v>
      </c>
    </row>
    <row r="363" spans="1:29" ht="15" customHeight="1">
      <c r="A363" s="93">
        <v>1913100720</v>
      </c>
      <c r="B363" s="109" t="str">
        <f t="shared" si="172"/>
        <v>720</v>
      </c>
      <c r="C363" s="109" t="str">
        <f t="shared" si="173"/>
        <v>913100</v>
      </c>
      <c r="D363" s="93" t="s">
        <v>644</v>
      </c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>
        <f>VLOOKUP(A:A,'[1]דוח כספי 31.10'!A:J,9,0)</f>
        <v>3276000</v>
      </c>
      <c r="P363" s="95">
        <f>VLOOKUP(A:A,'[1]דוח כספי 31.10'!A:D,4,0)</f>
        <v>2427451.65</v>
      </c>
      <c r="Q363" s="95">
        <v>2950000</v>
      </c>
      <c r="R363" s="200"/>
      <c r="S363" s="97"/>
      <c r="T363" s="91"/>
      <c r="U363" s="85"/>
      <c r="V363" s="98"/>
      <c r="W363" s="85"/>
      <c r="X363" s="85"/>
      <c r="Y363" s="85"/>
      <c r="Z363" s="85"/>
      <c r="AA363" s="85"/>
      <c r="AB363" s="85"/>
      <c r="AC363" s="83">
        <f t="shared" si="175"/>
        <v>848548.35000000009</v>
      </c>
    </row>
    <row r="364" spans="1:29" ht="15.75" customHeight="1">
      <c r="A364" s="93">
        <v>1913200110</v>
      </c>
      <c r="B364" s="109" t="str">
        <f t="shared" si="172"/>
        <v>110</v>
      </c>
      <c r="C364" s="109" t="str">
        <f t="shared" si="173"/>
        <v>913200</v>
      </c>
      <c r="D364" s="93" t="s">
        <v>540</v>
      </c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>
        <f>VLOOKUP(A:A,'[1]דוח כספי 31.10'!A:J,9,0)</f>
        <v>196000</v>
      </c>
      <c r="P364" s="95">
        <f>VLOOKUP(A:A,'[1]דוח כספי 31.10'!A:D,4,0)</f>
        <v>137636.68</v>
      </c>
      <c r="Q364" s="95">
        <v>198000</v>
      </c>
      <c r="R364" s="200"/>
      <c r="S364" s="97"/>
      <c r="T364" s="91"/>
      <c r="U364" s="85"/>
      <c r="V364" s="98"/>
      <c r="W364" s="85"/>
      <c r="X364" s="85"/>
      <c r="Y364" s="85"/>
      <c r="Z364" s="85"/>
      <c r="AA364" s="85"/>
      <c r="AB364" s="85"/>
      <c r="AC364"/>
    </row>
    <row r="365" spans="1:29" ht="15" customHeight="1">
      <c r="A365" s="93">
        <v>1913200431</v>
      </c>
      <c r="B365" s="109" t="str">
        <f t="shared" si="172"/>
        <v>431</v>
      </c>
      <c r="C365" s="109" t="str">
        <f t="shared" si="173"/>
        <v>913200</v>
      </c>
      <c r="D365" s="93" t="s">
        <v>645</v>
      </c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>
        <f>VLOOKUP(A:A,'[1]דוח כספי 31.10'!A:J,9,0)</f>
        <v>79000</v>
      </c>
      <c r="P365" s="95">
        <f>VLOOKUP(A:A,'[1]דוח כספי 31.10'!A:D,4,0)</f>
        <v>57602.96</v>
      </c>
      <c r="Q365" s="95">
        <v>69000</v>
      </c>
      <c r="R365" s="200"/>
      <c r="S365" s="97"/>
      <c r="T365" s="91"/>
      <c r="U365" s="85"/>
      <c r="V365" s="98"/>
      <c r="W365" s="85"/>
      <c r="X365" s="85"/>
      <c r="Y365" s="85"/>
      <c r="Z365" s="85"/>
      <c r="AA365" s="85"/>
      <c r="AB365" s="85"/>
      <c r="AC365" s="83">
        <f t="shared" ref="AC365:AC371" si="176">O365-P365</f>
        <v>21397.040000000001</v>
      </c>
    </row>
    <row r="366" spans="1:29" ht="15" customHeight="1">
      <c r="A366" s="93">
        <v>1913200720</v>
      </c>
      <c r="B366" s="109" t="str">
        <f t="shared" si="172"/>
        <v>720</v>
      </c>
      <c r="C366" s="109" t="str">
        <f t="shared" si="173"/>
        <v>913200</v>
      </c>
      <c r="D366" s="93" t="s">
        <v>646</v>
      </c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>
        <f>VLOOKUP(A:A,'[1]דוח כספי 31.10'!A:J,9,0)</f>
        <v>0</v>
      </c>
      <c r="P366" s="95">
        <f>VLOOKUP(A:A,'[1]דוח כספי 31.10'!A:D,4,0)</f>
        <v>0</v>
      </c>
      <c r="Q366" s="95">
        <f t="shared" ref="Q366:Q370" si="177">P366/10*12</f>
        <v>0</v>
      </c>
      <c r="R366" s="200"/>
      <c r="S366" s="97"/>
      <c r="T366" s="91"/>
      <c r="U366" s="85"/>
      <c r="V366" s="98"/>
      <c r="W366" s="85"/>
      <c r="X366" s="85"/>
      <c r="Y366" s="85"/>
      <c r="Z366" s="85"/>
      <c r="AA366" s="85"/>
      <c r="AB366" s="85"/>
      <c r="AC366" s="83">
        <f t="shared" si="176"/>
        <v>0</v>
      </c>
    </row>
    <row r="367" spans="1:29" ht="15" customHeight="1">
      <c r="A367" s="93">
        <v>1913200731</v>
      </c>
      <c r="B367" s="109" t="str">
        <f t="shared" si="172"/>
        <v>731</v>
      </c>
      <c r="C367" s="109" t="str">
        <f t="shared" si="173"/>
        <v>913200</v>
      </c>
      <c r="D367" s="93" t="s">
        <v>647</v>
      </c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>
        <f>VLOOKUP(A:A,'[1]דוח כספי 31.10'!A:J,9,0)</f>
        <v>8000</v>
      </c>
      <c r="P367" s="95">
        <f>VLOOKUP(A:A,'[1]דוח כספי 31.10'!A:D,4,0)</f>
        <v>19172.05</v>
      </c>
      <c r="Q367" s="95">
        <v>23000</v>
      </c>
      <c r="R367" s="200"/>
      <c r="S367" s="97"/>
      <c r="T367" s="91"/>
      <c r="U367" s="85"/>
      <c r="V367" s="98"/>
      <c r="W367" s="85"/>
      <c r="X367" s="85"/>
      <c r="Y367" s="85"/>
      <c r="Z367" s="85"/>
      <c r="AA367" s="85"/>
      <c r="AB367" s="85"/>
      <c r="AC367" s="83">
        <f t="shared" si="176"/>
        <v>-11172.05</v>
      </c>
    </row>
    <row r="368" spans="1:29" ht="15" customHeight="1">
      <c r="A368" s="93">
        <v>1913200750</v>
      </c>
      <c r="B368" s="109" t="str">
        <f t="shared" si="172"/>
        <v>750</v>
      </c>
      <c r="C368" s="109" t="str">
        <f t="shared" si="173"/>
        <v>913200</v>
      </c>
      <c r="D368" s="93" t="s">
        <v>648</v>
      </c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>
        <f>VLOOKUP(A:A,'[1]דוח כספי 31.10'!A:J,9,0)</f>
        <v>148000</v>
      </c>
      <c r="P368" s="95">
        <f>VLOOKUP(A:A,'[1]דוח כספי 31.10'!A:D,4,0)</f>
        <v>67623.45</v>
      </c>
      <c r="Q368" s="95">
        <v>81000</v>
      </c>
      <c r="R368" s="200"/>
      <c r="S368" s="97"/>
      <c r="T368" s="91"/>
      <c r="U368" s="85"/>
      <c r="V368" s="98"/>
      <c r="W368" s="85"/>
      <c r="X368" s="85"/>
      <c r="Y368" s="85"/>
      <c r="Z368" s="85"/>
      <c r="AA368" s="85"/>
      <c r="AB368" s="85"/>
      <c r="AC368" s="83">
        <f t="shared" si="176"/>
        <v>80376.55</v>
      </c>
    </row>
    <row r="369" spans="1:29" ht="15" customHeight="1">
      <c r="A369" s="93">
        <v>1913200910</v>
      </c>
      <c r="B369" s="109" t="str">
        <f t="shared" si="172"/>
        <v>910</v>
      </c>
      <c r="C369" s="109" t="str">
        <f t="shared" si="173"/>
        <v>913200</v>
      </c>
      <c r="D369" s="93" t="s">
        <v>363</v>
      </c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>
        <f>VLOOKUP(A:A,'[1]דוח כספי 31.10'!A:J,9,0)</f>
        <v>0</v>
      </c>
      <c r="P369" s="95">
        <f>VLOOKUP(A:A,'[1]דוח כספי 31.10'!A:D,4,0)</f>
        <v>0</v>
      </c>
      <c r="Q369" s="95">
        <f t="shared" si="177"/>
        <v>0</v>
      </c>
      <c r="R369" s="200"/>
      <c r="S369" s="97"/>
      <c r="T369" s="91"/>
      <c r="U369" s="85"/>
      <c r="V369" s="98"/>
      <c r="W369" s="85"/>
      <c r="X369" s="85"/>
      <c r="Y369" s="85"/>
      <c r="Z369" s="85"/>
      <c r="AA369" s="85"/>
      <c r="AB369" s="85"/>
      <c r="AC369" s="83">
        <f t="shared" si="176"/>
        <v>0</v>
      </c>
    </row>
    <row r="370" spans="1:29" ht="15" customHeight="1">
      <c r="A370" s="93">
        <v>1913200930</v>
      </c>
      <c r="B370" s="109" t="str">
        <f t="shared" si="172"/>
        <v>930</v>
      </c>
      <c r="C370" s="109" t="str">
        <f t="shared" si="173"/>
        <v>913200</v>
      </c>
      <c r="D370" s="93" t="s">
        <v>649</v>
      </c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>
        <f>VLOOKUP(A:A,'[1]דוח כספי 31.10'!A:J,9,0)</f>
        <v>0</v>
      </c>
      <c r="P370" s="95">
        <f>VLOOKUP(A:A,'[1]דוח כספי 31.10'!A:D,4,0)</f>
        <v>0</v>
      </c>
      <c r="Q370" s="95">
        <f t="shared" si="177"/>
        <v>0</v>
      </c>
      <c r="R370" s="200"/>
      <c r="S370" s="97"/>
      <c r="T370" s="91"/>
      <c r="U370" s="85"/>
      <c r="V370" s="98"/>
      <c r="W370" s="85"/>
      <c r="X370" s="85"/>
      <c r="Y370" s="85"/>
      <c r="Z370" s="85"/>
      <c r="AA370" s="85"/>
      <c r="AB370" s="85"/>
      <c r="AC370" s="83">
        <f t="shared" si="176"/>
        <v>0</v>
      </c>
    </row>
    <row r="371" spans="1:29" ht="15" customHeight="1">
      <c r="A371" s="93">
        <v>1913300731</v>
      </c>
      <c r="B371" s="109" t="str">
        <f t="shared" si="172"/>
        <v>731</v>
      </c>
      <c r="C371" s="109" t="str">
        <f t="shared" si="173"/>
        <v>913300</v>
      </c>
      <c r="D371" s="93" t="s">
        <v>650</v>
      </c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>
        <f>VLOOKUP(A:A,'[1]דוח כספי 31.10'!A:J,9,0)</f>
        <v>15000</v>
      </c>
      <c r="P371" s="95">
        <f>VLOOKUP(A:A,'[1]דוח כספי 31.10'!A:D,4,0)</f>
        <v>13200</v>
      </c>
      <c r="Q371" s="95">
        <v>16000</v>
      </c>
      <c r="R371" s="200"/>
      <c r="S371" s="97"/>
      <c r="T371" s="91"/>
      <c r="U371" s="85"/>
      <c r="V371" s="98"/>
      <c r="W371" s="85"/>
      <c r="X371" s="85"/>
      <c r="Y371" s="85"/>
      <c r="Z371" s="85"/>
      <c r="AA371" s="85"/>
      <c r="AB371" s="85"/>
      <c r="AC371" s="83">
        <f t="shared" si="176"/>
        <v>1800</v>
      </c>
    </row>
    <row r="372" spans="1:29" ht="13.5" customHeight="1">
      <c r="A372" s="93">
        <v>1970000110</v>
      </c>
      <c r="B372" s="109" t="str">
        <f t="shared" si="172"/>
        <v>110</v>
      </c>
      <c r="C372" s="109" t="str">
        <f t="shared" si="173"/>
        <v>970000</v>
      </c>
      <c r="D372" s="93" t="s">
        <v>651</v>
      </c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>
        <f>VLOOKUP(A:A,'[1]דוח כספי 31.10'!A:J,9,0)</f>
        <v>137000</v>
      </c>
      <c r="P372" s="95">
        <f>VLOOKUP(A:A,'[1]דוח כספי 31.10'!A:D,4,0)</f>
        <v>132016.56</v>
      </c>
      <c r="Q372" s="95">
        <v>192000</v>
      </c>
      <c r="R372" s="200"/>
      <c r="S372" s="97"/>
      <c r="T372" s="91"/>
      <c r="U372" s="85"/>
      <c r="V372" s="98"/>
      <c r="W372" s="85"/>
      <c r="X372" s="85"/>
      <c r="Y372" s="85"/>
      <c r="Z372" s="85"/>
      <c r="AA372" s="85"/>
      <c r="AB372" s="85"/>
      <c r="AC372"/>
    </row>
    <row r="373" spans="1:29" ht="15" customHeight="1">
      <c r="A373" s="93">
        <v>1973000431</v>
      </c>
      <c r="B373" s="109" t="str">
        <f t="shared" si="172"/>
        <v>431</v>
      </c>
      <c r="C373" s="109" t="str">
        <f t="shared" si="173"/>
        <v>973000</v>
      </c>
      <c r="D373" s="93" t="s">
        <v>652</v>
      </c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>
        <f>VLOOKUP(A:A,'[1]דוח כספי 31.10'!A:J,9,0)</f>
        <v>18000</v>
      </c>
      <c r="P373" s="95">
        <f>VLOOKUP(A:A,'[1]דוח כספי 31.10'!A:D,4,0)</f>
        <v>0</v>
      </c>
      <c r="Q373" s="95">
        <f t="shared" ref="Q373:Q387" si="178">P373/10*12</f>
        <v>0</v>
      </c>
      <c r="R373" s="200"/>
      <c r="S373" s="97"/>
      <c r="T373" s="91"/>
      <c r="U373" s="85"/>
      <c r="V373" s="98"/>
      <c r="W373" s="85"/>
      <c r="X373" s="85"/>
      <c r="Y373" s="85"/>
      <c r="Z373" s="85"/>
      <c r="AA373" s="85"/>
      <c r="AB373" s="85"/>
      <c r="AC373" s="83">
        <f t="shared" ref="AC373:AC387" si="179">O373-P373</f>
        <v>18000</v>
      </c>
    </row>
    <row r="374" spans="1:29" ht="15" customHeight="1">
      <c r="A374" s="93">
        <v>1973000440</v>
      </c>
      <c r="B374" s="109" t="str">
        <f t="shared" si="172"/>
        <v>440</v>
      </c>
      <c r="C374" s="109" t="str">
        <f t="shared" si="173"/>
        <v>973000</v>
      </c>
      <c r="D374" s="93" t="s">
        <v>354</v>
      </c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>
        <f>VLOOKUP(A:A,'[1]דוח כספי 31.10'!A:J,9,0)</f>
        <v>27000</v>
      </c>
      <c r="P374" s="95">
        <f>VLOOKUP(A:A,'[1]דוח כספי 31.10'!A:D,4,0)</f>
        <v>22132</v>
      </c>
      <c r="Q374" s="95">
        <v>22000</v>
      </c>
      <c r="R374" s="200"/>
      <c r="S374" s="97"/>
      <c r="T374" s="91"/>
      <c r="U374" s="85"/>
      <c r="V374" s="98"/>
      <c r="W374" s="85"/>
      <c r="X374" s="85"/>
      <c r="Y374" s="85"/>
      <c r="Z374" s="85"/>
      <c r="AA374" s="85"/>
      <c r="AB374" s="85"/>
      <c r="AC374" s="83">
        <f t="shared" si="179"/>
        <v>4868</v>
      </c>
    </row>
    <row r="375" spans="1:29" ht="15" customHeight="1">
      <c r="A375" s="93">
        <v>1973000691</v>
      </c>
      <c r="B375" s="109" t="str">
        <f t="shared" si="172"/>
        <v>691</v>
      </c>
      <c r="C375" s="109" t="str">
        <f t="shared" si="173"/>
        <v>973000</v>
      </c>
      <c r="D375" s="93" t="s">
        <v>653</v>
      </c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>
        <f>VLOOKUP(A:A,'[1]דוח כספי 31.10'!A:J,9,0)</f>
        <v>9000</v>
      </c>
      <c r="P375" s="95">
        <f>VLOOKUP(A:A,'[1]דוח כספי 31.10'!A:D,4,0)</f>
        <v>6561.3</v>
      </c>
      <c r="Q375" s="95">
        <v>8000</v>
      </c>
      <c r="R375" s="200"/>
      <c r="S375" s="97"/>
      <c r="T375" s="91"/>
      <c r="U375" s="85"/>
      <c r="V375" s="98"/>
      <c r="W375" s="85"/>
      <c r="X375" s="85"/>
      <c r="Y375" s="85"/>
      <c r="Z375" s="85"/>
      <c r="AA375" s="85"/>
      <c r="AB375" s="85"/>
      <c r="AC375" s="83">
        <f t="shared" si="179"/>
        <v>2438.6999999999998</v>
      </c>
    </row>
    <row r="376" spans="1:29" ht="15" customHeight="1">
      <c r="A376" s="93">
        <v>1973000692</v>
      </c>
      <c r="B376" s="109" t="str">
        <f t="shared" si="172"/>
        <v>692</v>
      </c>
      <c r="C376" s="109" t="str">
        <f t="shared" si="173"/>
        <v>973000</v>
      </c>
      <c r="D376" s="93" t="s">
        <v>654</v>
      </c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>
        <f>VLOOKUP(A:A,'[1]דוח כספי 31.10'!A:J,9,0)</f>
        <v>6000</v>
      </c>
      <c r="P376" s="95">
        <f>VLOOKUP(A:A,'[1]דוח כספי 31.10'!A:D,4,0)</f>
        <v>4046.99</v>
      </c>
      <c r="Q376" s="95">
        <v>5000</v>
      </c>
      <c r="R376" s="200"/>
      <c r="S376" s="97"/>
      <c r="T376" s="91"/>
      <c r="U376" s="85"/>
      <c r="V376" s="98"/>
      <c r="W376" s="85"/>
      <c r="X376" s="85"/>
      <c r="Y376" s="85"/>
      <c r="Z376" s="85"/>
      <c r="AA376" s="85"/>
      <c r="AB376" s="85"/>
      <c r="AC376" s="83">
        <f t="shared" si="179"/>
        <v>1953.0100000000002</v>
      </c>
    </row>
    <row r="377" spans="1:29" ht="15" customHeight="1">
      <c r="A377" s="93">
        <v>1973000693</v>
      </c>
      <c r="B377" s="109" t="str">
        <f t="shared" si="172"/>
        <v>693</v>
      </c>
      <c r="C377" s="109" t="str">
        <f t="shared" si="173"/>
        <v>973000</v>
      </c>
      <c r="D377" s="93" t="s">
        <v>655</v>
      </c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>
        <f>VLOOKUP(A:A,'[1]דוח כספי 31.10'!A:J,9,0)</f>
        <v>1000</v>
      </c>
      <c r="P377" s="95">
        <f>VLOOKUP(A:A,'[1]דוח כספי 31.10'!A:D,4,0)</f>
        <v>961.15</v>
      </c>
      <c r="Q377" s="95">
        <v>2000</v>
      </c>
      <c r="R377" s="200"/>
      <c r="S377" s="97"/>
      <c r="T377" s="91"/>
      <c r="U377" s="85"/>
      <c r="V377" s="98"/>
      <c r="W377" s="85"/>
      <c r="X377" s="85"/>
      <c r="Y377" s="85"/>
      <c r="Z377" s="85"/>
      <c r="AA377" s="85"/>
      <c r="AB377" s="85"/>
      <c r="AC377" s="83">
        <f t="shared" si="179"/>
        <v>38.850000000000023</v>
      </c>
    </row>
    <row r="378" spans="1:29" ht="15" customHeight="1">
      <c r="A378" s="93">
        <v>1973000750</v>
      </c>
      <c r="B378" s="109" t="str">
        <f t="shared" si="172"/>
        <v>750</v>
      </c>
      <c r="C378" s="109" t="str">
        <f t="shared" si="173"/>
        <v>973000</v>
      </c>
      <c r="D378" s="93" t="s">
        <v>656</v>
      </c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>
        <f>VLOOKUP(A:A,'[1]דוח כספי 31.10'!A:J,9,0)</f>
        <v>201000</v>
      </c>
      <c r="P378" s="95">
        <f>VLOOKUP(A:A,'[1]דוח כספי 31.10'!A:D,4,0)</f>
        <v>134723</v>
      </c>
      <c r="Q378" s="95">
        <v>201000</v>
      </c>
      <c r="R378" s="200"/>
      <c r="S378" s="97"/>
      <c r="T378" s="91"/>
      <c r="U378" s="85"/>
      <c r="V378" s="98"/>
      <c r="W378" s="85"/>
      <c r="X378" s="85"/>
      <c r="Y378" s="85"/>
      <c r="Z378" s="85"/>
      <c r="AA378" s="85"/>
      <c r="AB378" s="85"/>
      <c r="AC378" s="83">
        <f t="shared" si="179"/>
        <v>66277</v>
      </c>
    </row>
    <row r="379" spans="1:29" ht="15" customHeight="1">
      <c r="A379" s="93">
        <v>1973000760</v>
      </c>
      <c r="B379" s="109" t="str">
        <f t="shared" si="172"/>
        <v>760</v>
      </c>
      <c r="C379" s="109" t="str">
        <f t="shared" si="173"/>
        <v>973000</v>
      </c>
      <c r="D379" s="93" t="s">
        <v>657</v>
      </c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>
        <f>VLOOKUP(A:A,'[1]דוח כספי 31.10'!A:J,9,0)</f>
        <v>0</v>
      </c>
      <c r="P379" s="95">
        <f>VLOOKUP(A:A,'[1]דוח כספי 31.10'!A:D,4,0)</f>
        <v>0</v>
      </c>
      <c r="Q379" s="95">
        <f t="shared" si="178"/>
        <v>0</v>
      </c>
      <c r="R379" s="200"/>
      <c r="S379" s="97"/>
      <c r="T379" s="91"/>
      <c r="U379" s="85"/>
      <c r="V379" s="98"/>
      <c r="W379" s="85"/>
      <c r="X379" s="85"/>
      <c r="Y379" s="85"/>
      <c r="Z379" s="85"/>
      <c r="AA379" s="85"/>
      <c r="AB379" s="85"/>
      <c r="AC379" s="83">
        <f t="shared" si="179"/>
        <v>0</v>
      </c>
    </row>
    <row r="380" spans="1:29" ht="15" customHeight="1">
      <c r="A380" s="93">
        <v>1973000810</v>
      </c>
      <c r="B380" s="109" t="str">
        <f t="shared" si="172"/>
        <v>810</v>
      </c>
      <c r="C380" s="109" t="str">
        <f t="shared" si="173"/>
        <v>973000</v>
      </c>
      <c r="D380" s="93" t="s">
        <v>657</v>
      </c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>
        <f>VLOOKUP(A:A,'[1]דוח כספי 31.10'!A:J,9,0)</f>
        <v>650000</v>
      </c>
      <c r="P380" s="95">
        <f>VLOOKUP(A:A,'[1]דוח כספי 31.10'!A:D,4,0)</f>
        <v>100000</v>
      </c>
      <c r="Q380" s="95">
        <v>650000</v>
      </c>
      <c r="R380" s="200"/>
      <c r="S380" s="97"/>
      <c r="T380" s="91"/>
      <c r="U380" s="85"/>
      <c r="V380" s="98"/>
      <c r="W380" s="85"/>
      <c r="X380" s="85"/>
      <c r="Y380" s="85"/>
      <c r="Z380" s="85"/>
      <c r="AA380" s="85"/>
      <c r="AB380" s="85"/>
      <c r="AC380" s="83">
        <f t="shared" si="179"/>
        <v>550000</v>
      </c>
    </row>
    <row r="381" spans="1:29" ht="15" customHeight="1">
      <c r="A381" s="93">
        <v>1973000930</v>
      </c>
      <c r="B381" s="109" t="str">
        <f t="shared" si="172"/>
        <v>930</v>
      </c>
      <c r="C381" s="109" t="str">
        <f t="shared" si="173"/>
        <v>973000</v>
      </c>
      <c r="D381" s="93" t="s">
        <v>658</v>
      </c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>
        <f>VLOOKUP(A:A,'[1]דוח כספי 31.10'!A:J,9,0)</f>
        <v>0</v>
      </c>
      <c r="P381" s="95">
        <f>VLOOKUP(A:A,'[1]דוח כספי 31.10'!A:D,4,0)</f>
        <v>-100000</v>
      </c>
      <c r="Q381" s="95"/>
      <c r="R381" s="200"/>
      <c r="S381" s="97"/>
      <c r="T381" s="91"/>
      <c r="U381" s="85"/>
      <c r="V381" s="98"/>
      <c r="W381" s="85"/>
      <c r="X381" s="85"/>
      <c r="Y381" s="85"/>
      <c r="Z381" s="85"/>
      <c r="AA381" s="85"/>
      <c r="AB381" s="85"/>
      <c r="AC381" s="83">
        <f t="shared" si="179"/>
        <v>100000</v>
      </c>
    </row>
    <row r="382" spans="1:29" ht="15" customHeight="1">
      <c r="A382" s="93">
        <v>1973100750</v>
      </c>
      <c r="B382" s="109" t="str">
        <f t="shared" si="172"/>
        <v>750</v>
      </c>
      <c r="C382" s="109" t="str">
        <f t="shared" si="173"/>
        <v>973100</v>
      </c>
      <c r="D382" s="93" t="s">
        <v>659</v>
      </c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>
        <f>VLOOKUP(A:A,'[1]דוח כספי 31.10'!A:J,9,0)</f>
        <v>0</v>
      </c>
      <c r="P382" s="95">
        <f>VLOOKUP(A:A,'[1]דוח כספי 31.10'!A:D,4,0)</f>
        <v>0</v>
      </c>
      <c r="Q382" s="95">
        <f t="shared" si="178"/>
        <v>0</v>
      </c>
      <c r="R382" s="200"/>
      <c r="S382" s="97"/>
      <c r="T382" s="91"/>
      <c r="U382" s="85"/>
      <c r="V382" s="98"/>
      <c r="W382" s="85"/>
      <c r="X382" s="85"/>
      <c r="Y382" s="85"/>
      <c r="Z382" s="85"/>
      <c r="AA382" s="85"/>
      <c r="AB382" s="85"/>
      <c r="AC382" s="83">
        <f t="shared" si="179"/>
        <v>0</v>
      </c>
    </row>
    <row r="383" spans="1:29" ht="15" customHeight="1">
      <c r="A383" s="93">
        <v>1992000091</v>
      </c>
      <c r="B383" s="109" t="str">
        <f t="shared" si="172"/>
        <v>091</v>
      </c>
      <c r="C383" s="109" t="str">
        <f t="shared" si="173"/>
        <v>992000</v>
      </c>
      <c r="D383" s="93" t="s">
        <v>660</v>
      </c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>
        <f>VLOOKUP(A:A,'[1]דוח כספי 31.10'!A:J,9,0)</f>
        <v>0</v>
      </c>
      <c r="P383" s="95">
        <f>VLOOKUP(A:A,'[1]דוח כספי 31.10'!A:D,4,0)</f>
        <v>0</v>
      </c>
      <c r="Q383" s="95">
        <f t="shared" si="178"/>
        <v>0</v>
      </c>
      <c r="R383" s="200"/>
      <c r="S383" s="97"/>
      <c r="T383" s="91"/>
      <c r="U383" s="85"/>
      <c r="V383" s="98"/>
      <c r="W383" s="85"/>
      <c r="X383" s="85"/>
      <c r="Y383" s="85"/>
      <c r="Z383" s="85"/>
      <c r="AA383" s="85"/>
      <c r="AB383" s="85"/>
      <c r="AC383" s="83">
        <f t="shared" si="179"/>
        <v>0</v>
      </c>
    </row>
    <row r="384" spans="1:29" ht="15" customHeight="1">
      <c r="A384" s="93">
        <v>1992000910</v>
      </c>
      <c r="B384" s="109" t="str">
        <f t="shared" si="172"/>
        <v>910</v>
      </c>
      <c r="C384" s="109" t="str">
        <f t="shared" si="173"/>
        <v>992000</v>
      </c>
      <c r="D384" s="93" t="s">
        <v>661</v>
      </c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>
        <f>VLOOKUP(A:A,'[1]דוח כספי 31.10'!A:J,9,0)</f>
        <v>0</v>
      </c>
      <c r="P384" s="95">
        <f>VLOOKUP(A:A,'[1]דוח כספי 31.10'!A:D,4,0)</f>
        <v>0</v>
      </c>
      <c r="Q384" s="95">
        <f t="shared" si="178"/>
        <v>0</v>
      </c>
      <c r="R384" s="200"/>
      <c r="S384" s="97"/>
      <c r="T384" s="91"/>
      <c r="U384" s="85"/>
      <c r="V384" s="98"/>
      <c r="W384" s="85"/>
      <c r="X384" s="85"/>
      <c r="Y384" s="85"/>
      <c r="Z384" s="85"/>
      <c r="AA384" s="85"/>
      <c r="AB384" s="85"/>
      <c r="AC384" s="83">
        <f t="shared" si="179"/>
        <v>0</v>
      </c>
    </row>
    <row r="385" spans="1:29" ht="15" customHeight="1">
      <c r="A385" s="93">
        <v>1992000960</v>
      </c>
      <c r="B385" s="109" t="str">
        <f t="shared" si="172"/>
        <v>960</v>
      </c>
      <c r="C385" s="109" t="str">
        <f t="shared" si="173"/>
        <v>992000</v>
      </c>
      <c r="D385" s="93" t="s">
        <v>662</v>
      </c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>
        <f>VLOOKUP(A:A,'[1]דוח כספי 31.10'!A:J,9,0)</f>
        <v>1689000</v>
      </c>
      <c r="P385" s="95">
        <f>VLOOKUP(A:A,'[1]דוח כספי 31.10'!A:D,4,0)</f>
        <v>0</v>
      </c>
      <c r="Q385" s="95">
        <f t="shared" si="178"/>
        <v>0</v>
      </c>
      <c r="R385" s="200"/>
      <c r="S385" s="97"/>
      <c r="T385" s="91"/>
      <c r="U385" s="85"/>
      <c r="V385" s="98"/>
      <c r="W385" s="85"/>
      <c r="X385" s="85"/>
      <c r="Y385" s="85"/>
      <c r="Z385" s="85"/>
      <c r="AA385" s="85"/>
      <c r="AB385" s="85"/>
      <c r="AC385" s="83">
        <f t="shared" si="179"/>
        <v>1689000</v>
      </c>
    </row>
    <row r="386" spans="1:29" ht="15" customHeight="1">
      <c r="A386" s="93">
        <v>1992000991</v>
      </c>
      <c r="B386" s="109" t="str">
        <f t="shared" si="172"/>
        <v>991</v>
      </c>
      <c r="C386" s="109" t="str">
        <f t="shared" si="173"/>
        <v>992000</v>
      </c>
      <c r="D386" s="93" t="s">
        <v>660</v>
      </c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>
        <f>VLOOKUP(A:A,'[1]דוח כספי 31.10'!A:J,9,0)</f>
        <v>0</v>
      </c>
      <c r="P386" s="95">
        <f>VLOOKUP(A:A,'[1]דוח כספי 31.10'!A:D,4,0)</f>
        <v>0</v>
      </c>
      <c r="Q386" s="95">
        <f t="shared" si="178"/>
        <v>0</v>
      </c>
      <c r="R386" s="200"/>
      <c r="S386" s="97"/>
      <c r="T386" s="91"/>
      <c r="U386" s="85"/>
      <c r="V386" s="98"/>
      <c r="W386" s="85"/>
      <c r="X386" s="85"/>
      <c r="Y386" s="85"/>
      <c r="Z386" s="85"/>
      <c r="AA386" s="85"/>
      <c r="AB386" s="85"/>
      <c r="AC386" s="83">
        <f t="shared" si="179"/>
        <v>0</v>
      </c>
    </row>
    <row r="387" spans="1:29" ht="15" customHeight="1">
      <c r="A387" s="93">
        <v>1995000860</v>
      </c>
      <c r="B387" s="109" t="str">
        <f t="shared" si="172"/>
        <v>860</v>
      </c>
      <c r="C387" s="109" t="str">
        <f t="shared" si="173"/>
        <v>995000</v>
      </c>
      <c r="D387" s="93" t="s">
        <v>663</v>
      </c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>
        <f>VLOOKUP(A:A,'[1]דוח כספי 31.10'!A:J,9,0)</f>
        <v>2556000</v>
      </c>
      <c r="P387" s="95">
        <v>2800000</v>
      </c>
      <c r="Q387" s="95">
        <f t="shared" si="178"/>
        <v>3360000</v>
      </c>
      <c r="R387" s="200"/>
      <c r="S387" s="97"/>
      <c r="T387" s="91"/>
      <c r="U387" s="85"/>
      <c r="V387" s="98"/>
      <c r="W387" s="85"/>
      <c r="X387" s="85"/>
      <c r="Y387" s="85"/>
      <c r="Z387" s="85"/>
      <c r="AA387" s="85"/>
      <c r="AB387" s="85"/>
      <c r="AC387" s="83">
        <f t="shared" si="179"/>
        <v>-244000</v>
      </c>
    </row>
    <row r="388" spans="1:29">
      <c r="A388" s="93">
        <v>1998000115</v>
      </c>
      <c r="B388" s="109" t="str">
        <f t="shared" si="172"/>
        <v>115</v>
      </c>
      <c r="C388" s="109" t="str">
        <f t="shared" si="173"/>
        <v>998000</v>
      </c>
      <c r="D388" s="93" t="s">
        <v>664</v>
      </c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>
        <f>VLOOKUP(A:A,'[1]דוח כספי 31.10'!A:J,9,0)</f>
        <v>0</v>
      </c>
      <c r="P388" s="95">
        <f>VLOOKUP(A:A,'[1]דוח כספי 31.10'!A:D,4,0)</f>
        <v>0</v>
      </c>
      <c r="Q388" s="95">
        <f t="shared" ref="Q388" si="180">P388/9*12</f>
        <v>0</v>
      </c>
      <c r="R388" s="200"/>
      <c r="S388" s="97"/>
      <c r="T388" s="91"/>
      <c r="U388" s="85"/>
      <c r="V388" s="98"/>
      <c r="W388" s="85"/>
      <c r="X388" s="85"/>
      <c r="Y388" s="85"/>
      <c r="Z388" s="85"/>
      <c r="AA388" s="85"/>
      <c r="AB388" s="85"/>
      <c r="AC388"/>
    </row>
    <row r="389" spans="1:29" ht="15" customHeight="1">
      <c r="A389" s="211"/>
      <c r="B389" s="211"/>
      <c r="C389" s="211"/>
      <c r="D389" s="212" t="s">
        <v>666</v>
      </c>
      <c r="E389" s="213" t="e">
        <f>SUM(#REF!)</f>
        <v>#REF!</v>
      </c>
      <c r="F389" s="213" t="e">
        <f>SUM(#REF!)</f>
        <v>#REF!</v>
      </c>
      <c r="G389" s="213" t="e">
        <f>SUM(#REF!)</f>
        <v>#REF!</v>
      </c>
      <c r="H389" s="213" t="e">
        <f>SUM(#REF!)</f>
        <v>#REF!</v>
      </c>
      <c r="I389" s="213" t="e">
        <f>SUM(#REF!)</f>
        <v>#REF!</v>
      </c>
      <c r="J389" s="213" t="e">
        <f>SUM(#REF!)</f>
        <v>#REF!</v>
      </c>
      <c r="K389" s="213" t="e">
        <f>SUM(#REF!)</f>
        <v>#REF!</v>
      </c>
      <c r="L389" s="213" t="e">
        <f>SUM(#REF!)</f>
        <v>#REF!</v>
      </c>
      <c r="M389" s="213" t="e">
        <f>SUM(#REF!)</f>
        <v>#REF!</v>
      </c>
      <c r="N389" s="213" t="e">
        <f>SUM(#REF!)</f>
        <v>#REF!</v>
      </c>
      <c r="O389" s="213">
        <f>SUM(O360:O388)</f>
        <v>9152000</v>
      </c>
      <c r="P389" s="213">
        <f t="shared" ref="P389:R389" si="181">SUM(P360:P388)</f>
        <v>5861039.04</v>
      </c>
      <c r="Q389" s="213">
        <f t="shared" si="181"/>
        <v>7827000</v>
      </c>
      <c r="R389" s="213">
        <f t="shared" si="181"/>
        <v>0</v>
      </c>
      <c r="S389" s="214"/>
      <c r="T389" s="91"/>
      <c r="U389" s="85">
        <f>IF(ISBLANK(A389),1,--OR(K389&gt;1,L389&gt;1,M389&gt;1))</f>
        <v>1</v>
      </c>
      <c r="V389" s="85"/>
      <c r="W389" s="85"/>
      <c r="X389" s="85"/>
      <c r="Y389" s="85"/>
      <c r="Z389" s="85"/>
      <c r="AA389" s="85"/>
      <c r="AB389" s="85"/>
      <c r="AC389" s="83">
        <f>O389-P389</f>
        <v>3290960.96</v>
      </c>
    </row>
    <row r="390" spans="1:29" ht="15" customHeight="1" thickBot="1">
      <c r="A390" s="139"/>
      <c r="B390" s="139"/>
      <c r="C390" s="139"/>
      <c r="D390" s="140" t="s">
        <v>667</v>
      </c>
      <c r="E390" s="141" t="e">
        <f>E389+#REF!+E358+E351+E285+E295+E243+E127+E78</f>
        <v>#REF!</v>
      </c>
      <c r="F390" s="141" t="e">
        <f>F389+#REF!+F358+F351+F285+F295+F243+F127+F78</f>
        <v>#REF!</v>
      </c>
      <c r="G390" s="141" t="e">
        <f>G389+#REF!+G358+G351+G285+G295+G243+G127+G78</f>
        <v>#REF!</v>
      </c>
      <c r="H390" s="141" t="e">
        <f>H389+#REF!+H358+H351+H285+H295+H243+H127+H78</f>
        <v>#REF!</v>
      </c>
      <c r="I390" s="141" t="e">
        <f>I389+#REF!+I358+I351+I285+I295+I243+I127+I78</f>
        <v>#REF!</v>
      </c>
      <c r="J390" s="141" t="e">
        <f>J389+#REF!+J358+J351+J285+J295+J243+J127+J78</f>
        <v>#REF!</v>
      </c>
      <c r="K390" s="141" t="e">
        <f>K389+#REF!+K358+K351+K285+K295+K243+K127+K78</f>
        <v>#REF!</v>
      </c>
      <c r="L390" s="141" t="e">
        <f>L389+#REF!+L358+L351+L285+L295+L243+L127+L78</f>
        <v>#REF!</v>
      </c>
      <c r="M390" s="141" t="e">
        <f>M389+#REF!+M358+M351+M285+M295+M243+M127+M78</f>
        <v>#REF!</v>
      </c>
      <c r="N390" s="141" t="e">
        <f>N389+#REF!+N358+N351+N285+N295+N243+N127+N78</f>
        <v>#REF!</v>
      </c>
      <c r="O390" s="141">
        <f>O389+O358+O351+O285+O295+O243+O127+O78</f>
        <v>62584000</v>
      </c>
      <c r="P390" s="141">
        <f>P389+P358+P351+P285+P295+P243+P127+P78</f>
        <v>54381114.399999999</v>
      </c>
      <c r="Q390" s="141">
        <f>Q389+Q358+Q351+Q285+Q295+Q243+Q127+Q78</f>
        <v>71088500</v>
      </c>
      <c r="R390" s="141">
        <f>R389+R358+R351+R285+R295+R243+R127+R78</f>
        <v>0</v>
      </c>
      <c r="S390" s="143"/>
      <c r="T390" s="144" t="e">
        <f>SUM(T3:T389)</f>
        <v>#REF!</v>
      </c>
      <c r="U390" s="85">
        <f>IF(ISBLANK(A390),1,--OR(K390&gt;1,L390&gt;1,M390&gt;1))</f>
        <v>1</v>
      </c>
      <c r="V390" s="85"/>
      <c r="W390" s="85"/>
      <c r="X390" s="85"/>
      <c r="Y390" s="85"/>
      <c r="Z390" s="85"/>
      <c r="AA390" s="85"/>
      <c r="AB390" s="85"/>
    </row>
    <row r="391" spans="1:29" ht="15" customHeight="1" thickBot="1">
      <c r="A391" s="220"/>
      <c r="B391" s="220"/>
      <c r="C391" s="220"/>
      <c r="D391" s="221" t="s">
        <v>668</v>
      </c>
      <c r="E391" s="222" t="e">
        <f>-E390+'[1]תקבולים 2017'!F250</f>
        <v>#REF!</v>
      </c>
      <c r="F391" s="222" t="e">
        <f>-F390+'[1]תקבולים 2017'!G250</f>
        <v>#REF!</v>
      </c>
      <c r="G391" s="222" t="e">
        <f>-G390+'[1]תקבולים 2017'!H250</f>
        <v>#REF!</v>
      </c>
      <c r="H391" s="222" t="e">
        <f>-H390+'[1]תקבולים 2017'!I250</f>
        <v>#REF!</v>
      </c>
      <c r="I391" s="222"/>
      <c r="J391" s="222"/>
      <c r="K391" s="222" t="e">
        <f>'[1]תקבולים 2017'!L250-'תשלומים 2017'!K390</f>
        <v>#REF!</v>
      </c>
      <c r="L391" s="222" t="e">
        <f>'[1]תקבולים 2017'!M250-'תשלומים 2017'!L390</f>
        <v>#REF!</v>
      </c>
      <c r="M391" s="222" t="e">
        <f>'[1]תקבולים 2017'!N250-'תשלומים 2017'!M390</f>
        <v>#REF!</v>
      </c>
      <c r="N391" s="222" t="e">
        <f>'[1]תקבולים 2017'!O250-'תשלומים 2017'!N390</f>
        <v>#N/A</v>
      </c>
      <c r="O391" s="222">
        <f>'[1]תקבולים 2017'!P250-'תשלומים 2017'!O390</f>
        <v>0</v>
      </c>
      <c r="P391" s="222">
        <f>'[1]תקבולים 2017'!Q250-'תשלומים 2017'!P390</f>
        <v>4905061.5500000045</v>
      </c>
      <c r="Q391" s="222">
        <f>'[1]תקבולים 2017'!R250-'תשלומים 2017'!Q390</f>
        <v>-0.24799999594688416</v>
      </c>
      <c r="R391" s="220"/>
      <c r="S391" s="223"/>
      <c r="T391" s="224"/>
      <c r="U391" s="85">
        <f>IF(ISBLANK(A391),1,--OR(K391&gt;1,L391&gt;1,M391&gt;1))</f>
        <v>1</v>
      </c>
      <c r="V391" s="225"/>
      <c r="W391" s="225"/>
      <c r="X391" s="225"/>
      <c r="Y391" s="225"/>
      <c r="Z391" s="225"/>
      <c r="AA391" s="225"/>
      <c r="AB391" s="225"/>
    </row>
    <row r="392" spans="1:29" ht="15" customHeight="1">
      <c r="S392" s="155" t="s">
        <v>669</v>
      </c>
      <c r="T392" s="155">
        <v>21077496.615999997</v>
      </c>
    </row>
    <row r="393" spans="1:29" ht="15" customHeight="1">
      <c r="G393" s="156" t="e">
        <f>1.01*#REF!</f>
        <v>#REF!</v>
      </c>
    </row>
    <row r="395" spans="1:29" ht="15" customHeight="1">
      <c r="G395" s="226" t="s">
        <v>670</v>
      </c>
      <c r="H395" s="226"/>
      <c r="I395" s="157"/>
      <c r="J395" s="157"/>
      <c r="K395" s="157"/>
      <c r="L395" s="157"/>
      <c r="M395" s="157"/>
      <c r="N395" s="157"/>
      <c r="O395" s="157"/>
      <c r="P395" s="157"/>
      <c r="Q395" s="157"/>
    </row>
    <row r="396" spans="1:29" ht="15" customHeight="1">
      <c r="G396" s="158">
        <v>16</v>
      </c>
      <c r="H396" s="159" t="e">
        <f>SUMIF('תשלומים 2017'!#REF!,G396,'תשלומים 2017'!H:H)</f>
        <v>#REF!</v>
      </c>
      <c r="I396" s="160"/>
      <c r="J396" s="160"/>
      <c r="K396" s="160"/>
      <c r="L396" s="160"/>
      <c r="M396" s="160"/>
      <c r="N396" s="160"/>
      <c r="O396" s="160"/>
      <c r="P396" s="160"/>
      <c r="Q396" s="160"/>
    </row>
    <row r="397" spans="1:29" ht="15" customHeight="1">
      <c r="G397" s="158">
        <v>20</v>
      </c>
      <c r="H397" s="159" t="e">
        <f>SUMIF('תשלומים 2017'!#REF!,G397,'תשלומים 2017'!H:H)</f>
        <v>#REF!</v>
      </c>
      <c r="I397" s="160"/>
      <c r="J397" s="160"/>
      <c r="K397" s="160"/>
      <c r="L397" s="160"/>
      <c r="M397" s="160"/>
      <c r="N397" s="160"/>
      <c r="O397" s="160"/>
      <c r="P397" s="160"/>
      <c r="Q397" s="160"/>
    </row>
    <row r="398" spans="1:29" ht="15" customHeight="1">
      <c r="G398" s="158">
        <v>21</v>
      </c>
      <c r="H398" s="159" t="e">
        <f>SUMIF('תשלומים 2017'!#REF!,G398,'תשלומים 2017'!H:H)</f>
        <v>#REF!</v>
      </c>
      <c r="I398" s="160"/>
      <c r="J398" s="160"/>
      <c r="K398" s="160"/>
      <c r="L398" s="160"/>
      <c r="M398" s="160"/>
      <c r="N398" s="160"/>
      <c r="O398" s="160"/>
      <c r="P398" s="160"/>
      <c r="Q398" s="160"/>
    </row>
    <row r="399" spans="1:29" ht="15" customHeight="1">
      <c r="G399" s="158"/>
      <c r="H399" s="159"/>
      <c r="I399" s="160"/>
      <c r="J399" s="160"/>
      <c r="K399" s="160"/>
      <c r="L399" s="160"/>
      <c r="M399" s="160"/>
      <c r="N399" s="160"/>
      <c r="O399" s="160"/>
      <c r="P399" s="160"/>
      <c r="Q399" s="160"/>
    </row>
    <row r="400" spans="1:29" ht="15" customHeight="1">
      <c r="G400" s="158" t="s">
        <v>671</v>
      </c>
      <c r="H400" s="161" t="e">
        <f>SUM(H396:H399)</f>
        <v>#REF!</v>
      </c>
      <c r="I400" s="162"/>
      <c r="J400" s="162"/>
      <c r="K400" s="162"/>
      <c r="L400" s="162"/>
      <c r="M400" s="162"/>
      <c r="N400" s="162"/>
      <c r="O400" s="162"/>
      <c r="P400" s="162"/>
      <c r="Q400" s="162"/>
    </row>
  </sheetData>
  <autoFilter ref="A2:V393"/>
  <mergeCells count="1">
    <mergeCell ref="G395:H395"/>
  </mergeCells>
  <conditionalFormatting sqref="A2:B2 B3 B21 B26:B44 B46 B50 B52 B66 B70 B73 B77:B79 B91 B95 B104 B119:B128 B136 B148 B167 B178 B216 B221 B227 B242:B244 B269 B284:B286 B295:B296 B308 B321 B327 B333 B341 B350 A351:B352 B358 B389:R1048576">
    <cfRule type="cellIs" dxfId="2230" priority="299" operator="equal">
      <formula>"110"</formula>
    </cfRule>
  </conditionalFormatting>
  <conditionalFormatting sqref="B2:H2 B3:R3 B21:R21 B27:C44 O28:P44 I26:AB26 B50:R50 B52:R52 B66:R66 B70:R70 B73:R73 B77:R78 B91:R91 B95:R95 B119:R119 B120:C125 O122:P125 B136:R136 B148:R148 B178:R178 B216:R216 B221:R221 B242:R243 B269:R269 B284:R285 B286:N286 B308:R308 B321:R321 B327:R327 B333:R333 B341:R341 B350:R351 B389:R391 B79:P79 R79 B244:P244 R244 B352:P352 R352 B104:R104 B46:R46 B167:R167 B227:R227 I126:R126 B7:C17 O7:Q17 O23:P23 O64:Q65 O62:P63 O69:Q69 O68:P68 O87:P90 O100:P103 O110:P118 O139:P147 O168:Q168 B168:D171 B173:D175 O166:Q166 O163:P165 O215:Q215 O213:P214 O218:P220 O241:Q241 O229:P240 O267:P268 O245:P250 O280:P283 O288:P294 O310:P320 O329:P332 O388:Q388 O373:P387 O54:Q61 O82:Q86 Q79:Q80 O97:Q98 O105:Q108 B127:R128 O137:Q137 Q150:Q161 O181:Q212 O252:Q266 Q244:Q250 O271:Q279 Q286:R286 B295:R296 O361:Q372 B358:R359">
    <cfRule type="expression" dxfId="2229" priority="298">
      <formula>$B2="110"</formula>
    </cfRule>
  </conditionalFormatting>
  <conditionalFormatting sqref="B350">
    <cfRule type="cellIs" dxfId="2228" priority="297" operator="equal">
      <formula>"110"</formula>
    </cfRule>
  </conditionalFormatting>
  <conditionalFormatting sqref="B350">
    <cfRule type="cellIs" dxfId="2227" priority="296" operator="equal">
      <formula>"110"</formula>
    </cfRule>
  </conditionalFormatting>
  <conditionalFormatting sqref="B358">
    <cfRule type="cellIs" dxfId="2226" priority="295" operator="equal">
      <formula>"110"</formula>
    </cfRule>
  </conditionalFormatting>
  <conditionalFormatting sqref="B358">
    <cfRule type="cellIs" dxfId="2225" priority="294" operator="equal">
      <formula>"110"</formula>
    </cfRule>
  </conditionalFormatting>
  <conditionalFormatting sqref="B389">
    <cfRule type="cellIs" dxfId="2224" priority="293" operator="equal">
      <formula>"110"</formula>
    </cfRule>
  </conditionalFormatting>
  <conditionalFormatting sqref="B389">
    <cfRule type="cellIs" dxfId="2223" priority="292" operator="equal">
      <formula>"110"</formula>
    </cfRule>
  </conditionalFormatting>
  <conditionalFormatting sqref="A350">
    <cfRule type="cellIs" dxfId="2222" priority="291" operator="equal">
      <formula>"110"</formula>
    </cfRule>
  </conditionalFormatting>
  <conditionalFormatting sqref="A350">
    <cfRule type="cellIs" dxfId="2221" priority="290" operator="equal">
      <formula>"110"</formula>
    </cfRule>
  </conditionalFormatting>
  <conditionalFormatting sqref="A341">
    <cfRule type="cellIs" dxfId="2220" priority="289" operator="equal">
      <formula>"110"</formula>
    </cfRule>
  </conditionalFormatting>
  <conditionalFormatting sqref="A341">
    <cfRule type="cellIs" dxfId="2219" priority="288" operator="equal">
      <formula>"110"</formula>
    </cfRule>
  </conditionalFormatting>
  <conditionalFormatting sqref="A333">
    <cfRule type="cellIs" dxfId="2218" priority="287" operator="equal">
      <formula>"110"</formula>
    </cfRule>
  </conditionalFormatting>
  <conditionalFormatting sqref="A333">
    <cfRule type="cellIs" dxfId="2217" priority="286" operator="equal">
      <formula>"110"</formula>
    </cfRule>
  </conditionalFormatting>
  <conditionalFormatting sqref="A327">
    <cfRule type="cellIs" dxfId="2216" priority="285" operator="equal">
      <formula>"110"</formula>
    </cfRule>
  </conditionalFormatting>
  <conditionalFormatting sqref="A327">
    <cfRule type="cellIs" dxfId="2215" priority="284" operator="equal">
      <formula>"110"</formula>
    </cfRule>
  </conditionalFormatting>
  <conditionalFormatting sqref="A321">
    <cfRule type="cellIs" dxfId="2214" priority="283" operator="equal">
      <formula>"110"</formula>
    </cfRule>
  </conditionalFormatting>
  <conditionalFormatting sqref="A321">
    <cfRule type="cellIs" dxfId="2213" priority="282" operator="equal">
      <formula>"110"</formula>
    </cfRule>
  </conditionalFormatting>
  <conditionalFormatting sqref="A308">
    <cfRule type="cellIs" dxfId="2212" priority="281" operator="equal">
      <formula>"110"</formula>
    </cfRule>
  </conditionalFormatting>
  <conditionalFormatting sqref="A308">
    <cfRule type="cellIs" dxfId="2211" priority="280" operator="equal">
      <formula>"110"</formula>
    </cfRule>
  </conditionalFormatting>
  <conditionalFormatting sqref="A358:A359">
    <cfRule type="cellIs" dxfId="2210" priority="279" operator="equal">
      <formula>"110"</formula>
    </cfRule>
  </conditionalFormatting>
  <conditionalFormatting sqref="A358:A359">
    <cfRule type="cellIs" dxfId="2209" priority="278" operator="equal">
      <formula>"110"</formula>
    </cfRule>
  </conditionalFormatting>
  <conditionalFormatting sqref="A389">
    <cfRule type="cellIs" dxfId="2208" priority="277" operator="equal">
      <formula>"110"</formula>
    </cfRule>
  </conditionalFormatting>
  <conditionalFormatting sqref="A389">
    <cfRule type="cellIs" dxfId="2207" priority="276" operator="equal">
      <formula>"110"</formula>
    </cfRule>
  </conditionalFormatting>
  <conditionalFormatting sqref="B2:B3 B21 B26:B44 B46 B50 B52 B66 B70 B73 B77:B79 B91 B95 B104 B119:B128 B136 B148 B167 B178 B216 B221 B227 B242:B244 B269 B284:B286 B295:B296 B308 B321 B327 B333 B341 B350:B352 B358:B359 B389:B1048576">
    <cfRule type="cellIs" dxfId="2206" priority="274" operator="equal">
      <formula>"310"</formula>
    </cfRule>
  </conditionalFormatting>
  <conditionalFormatting sqref="B359:H359 R359">
    <cfRule type="cellIs" dxfId="2205" priority="275" operator="equal">
      <formula>"110"</formula>
    </cfRule>
  </conditionalFormatting>
  <conditionalFormatting sqref="B26:H26">
    <cfRule type="expression" dxfId="2204" priority="273">
      <formula>$B26="110"</formula>
    </cfRule>
  </conditionalFormatting>
  <conditionalFormatting sqref="B126:H126">
    <cfRule type="expression" dxfId="2203" priority="272">
      <formula>$B126="110"</formula>
    </cfRule>
  </conditionalFormatting>
  <conditionalFormatting sqref="E5:N5 R5 R7:R17 E7:N17 R27:R44 R120:R125 E120:N125 E22:N23 E27:N45 E47:N49 E51:N51 E53:N65 E67:N69 E71:N72 E74:N76 E80:N90 E92:N94 E96:N103 E105:N118 E129:N135 E137:N147 E149:N166 E168:N171 R168:R171 R173:R175 E173:N175 E177:N177 R179:R215 R217:R220 R222:R226 R228:R241 R245:R268 H245:N245 R270:R283 R287:R294 R297:R307 R309:R320 R322:R326 R328:R332 R334:R340 R342:R349 R353:R357 R360:R388">
    <cfRule type="expression" dxfId="2202" priority="301">
      <formula>$D5="110"</formula>
    </cfRule>
  </conditionalFormatting>
  <conditionalFormatting sqref="B5 B7:B17">
    <cfRule type="cellIs" dxfId="2201" priority="270" operator="equal">
      <formula>"110"</formula>
    </cfRule>
  </conditionalFormatting>
  <conditionalFormatting sqref="B5:C5">
    <cfRule type="expression" dxfId="2200" priority="269">
      <formula>$B5="110"</formula>
    </cfRule>
  </conditionalFormatting>
  <conditionalFormatting sqref="B5 B7:B17">
    <cfRule type="cellIs" dxfId="2199" priority="268" operator="equal">
      <formula>"310"</formula>
    </cfRule>
  </conditionalFormatting>
  <conditionalFormatting sqref="O5:Q5">
    <cfRule type="expression" dxfId="2198" priority="267">
      <formula>$B5="110"</formula>
    </cfRule>
  </conditionalFormatting>
  <conditionalFormatting sqref="B4">
    <cfRule type="cellIs" dxfId="2197" priority="266" operator="equal">
      <formula>"110"</formula>
    </cfRule>
  </conditionalFormatting>
  <conditionalFormatting sqref="B4:R4">
    <cfRule type="expression" dxfId="2196" priority="265">
      <formula>$B4="110"</formula>
    </cfRule>
  </conditionalFormatting>
  <conditionalFormatting sqref="B4">
    <cfRule type="cellIs" dxfId="2195" priority="264" operator="equal">
      <formula>"310"</formula>
    </cfRule>
  </conditionalFormatting>
  <conditionalFormatting sqref="B6">
    <cfRule type="cellIs" dxfId="2194" priority="263" operator="equal">
      <formula>"110"</formula>
    </cfRule>
  </conditionalFormatting>
  <conditionalFormatting sqref="B6:R6">
    <cfRule type="expression" dxfId="2193" priority="262">
      <formula>$B6="110"</formula>
    </cfRule>
  </conditionalFormatting>
  <conditionalFormatting sqref="B6">
    <cfRule type="cellIs" dxfId="2192" priority="261" operator="equal">
      <formula>"310"</formula>
    </cfRule>
  </conditionalFormatting>
  <conditionalFormatting sqref="B18:B20">
    <cfRule type="cellIs" dxfId="2191" priority="260" operator="equal">
      <formula>"110"</formula>
    </cfRule>
  </conditionalFormatting>
  <conditionalFormatting sqref="B18:R20">
    <cfRule type="expression" dxfId="2190" priority="259">
      <formula>$B18="110"</formula>
    </cfRule>
  </conditionalFormatting>
  <conditionalFormatting sqref="B18:B20">
    <cfRule type="cellIs" dxfId="2189" priority="258" operator="equal">
      <formula>"310"</formula>
    </cfRule>
  </conditionalFormatting>
  <conditionalFormatting sqref="R22:R23">
    <cfRule type="expression" dxfId="2188" priority="257">
      <formula>$D22="110"</formula>
    </cfRule>
  </conditionalFormatting>
  <conditionalFormatting sqref="B22:B23">
    <cfRule type="cellIs" dxfId="2187" priority="256" operator="equal">
      <formula>"110"</formula>
    </cfRule>
  </conditionalFormatting>
  <conditionalFormatting sqref="B22:C23">
    <cfRule type="expression" dxfId="2186" priority="255">
      <formula>$B22="110"</formula>
    </cfRule>
  </conditionalFormatting>
  <conditionalFormatting sqref="B22:B23">
    <cfRule type="cellIs" dxfId="2185" priority="254" operator="equal">
      <formula>"310"</formula>
    </cfRule>
  </conditionalFormatting>
  <conditionalFormatting sqref="O22:Q22">
    <cfRule type="expression" dxfId="2184" priority="253">
      <formula>$B22="110"</formula>
    </cfRule>
  </conditionalFormatting>
  <conditionalFormatting sqref="B24:B25">
    <cfRule type="cellIs" dxfId="2183" priority="252" operator="equal">
      <formula>"110"</formula>
    </cfRule>
  </conditionalFormatting>
  <conditionalFormatting sqref="B24:R25">
    <cfRule type="expression" dxfId="2182" priority="251">
      <formula>$B24="110"</formula>
    </cfRule>
  </conditionalFormatting>
  <conditionalFormatting sqref="B24:B25">
    <cfRule type="cellIs" dxfId="2181" priority="250" operator="equal">
      <formula>"310"</formula>
    </cfRule>
  </conditionalFormatting>
  <conditionalFormatting sqref="D7:D17">
    <cfRule type="expression" dxfId="2180" priority="249">
      <formula>$B7="110"</formula>
    </cfRule>
  </conditionalFormatting>
  <conditionalFormatting sqref="D5">
    <cfRule type="expression" dxfId="2179" priority="248">
      <formula>$B5="110"</formula>
    </cfRule>
  </conditionalFormatting>
  <conditionalFormatting sqref="D22:D23">
    <cfRule type="expression" dxfId="2178" priority="247">
      <formula>$B22="110"</formula>
    </cfRule>
  </conditionalFormatting>
  <conditionalFormatting sqref="O27:Q27">
    <cfRule type="expression" dxfId="2177" priority="246">
      <formula>$B27="110"</formula>
    </cfRule>
  </conditionalFormatting>
  <conditionalFormatting sqref="D27:D44">
    <cfRule type="expression" dxfId="2176" priority="245">
      <formula>$B27="110"</formula>
    </cfRule>
  </conditionalFormatting>
  <conditionalFormatting sqref="D45">
    <cfRule type="expression" dxfId="2175" priority="240">
      <formula>$B45="110"</formula>
    </cfRule>
  </conditionalFormatting>
  <conditionalFormatting sqref="B45">
    <cfRule type="cellIs" dxfId="2174" priority="243" operator="equal">
      <formula>"110"</formula>
    </cfRule>
  </conditionalFormatting>
  <conditionalFormatting sqref="B45:C45">
    <cfRule type="expression" dxfId="2173" priority="242">
      <formula>$B45="110"</formula>
    </cfRule>
  </conditionalFormatting>
  <conditionalFormatting sqref="B45">
    <cfRule type="cellIs" dxfId="2172" priority="241" operator="equal">
      <formula>"310"</formula>
    </cfRule>
  </conditionalFormatting>
  <conditionalFormatting sqref="R45">
    <cfRule type="expression" dxfId="2171" priority="244">
      <formula>$D45="110"</formula>
    </cfRule>
  </conditionalFormatting>
  <conditionalFormatting sqref="O45:Q45">
    <cfRule type="expression" dxfId="2170" priority="239">
      <formula>$B45="110"</formula>
    </cfRule>
  </conditionalFormatting>
  <conditionalFormatting sqref="B47:B49">
    <cfRule type="cellIs" dxfId="2169" priority="237" operator="equal">
      <formula>"110"</formula>
    </cfRule>
  </conditionalFormatting>
  <conditionalFormatting sqref="B47:C49">
    <cfRule type="expression" dxfId="2168" priority="236">
      <formula>$B47="110"</formula>
    </cfRule>
  </conditionalFormatting>
  <conditionalFormatting sqref="B47:B49">
    <cfRule type="cellIs" dxfId="2167" priority="235" operator="equal">
      <formula>"310"</formula>
    </cfRule>
  </conditionalFormatting>
  <conditionalFormatting sqref="R47:R49">
    <cfRule type="expression" dxfId="2166" priority="238">
      <formula>$D47="110"</formula>
    </cfRule>
  </conditionalFormatting>
  <conditionalFormatting sqref="D47:D49">
    <cfRule type="expression" dxfId="2165" priority="234">
      <formula>$B47="110"</formula>
    </cfRule>
  </conditionalFormatting>
  <conditionalFormatting sqref="O47:P49">
    <cfRule type="expression" dxfId="2164" priority="233">
      <formula>$B47="110"</formula>
    </cfRule>
  </conditionalFormatting>
  <conditionalFormatting sqref="B51">
    <cfRule type="cellIs" dxfId="2163" priority="231" operator="equal">
      <formula>"110"</formula>
    </cfRule>
  </conditionalFormatting>
  <conditionalFormatting sqref="B51:C51">
    <cfRule type="expression" dxfId="2162" priority="230">
      <formula>$B51="110"</formula>
    </cfRule>
  </conditionalFormatting>
  <conditionalFormatting sqref="B51">
    <cfRule type="cellIs" dxfId="2161" priority="229" operator="equal">
      <formula>"310"</formula>
    </cfRule>
  </conditionalFormatting>
  <conditionalFormatting sqref="R51">
    <cfRule type="expression" dxfId="2160" priority="232">
      <formula>$D51="110"</formula>
    </cfRule>
  </conditionalFormatting>
  <conditionalFormatting sqref="D51">
    <cfRule type="expression" dxfId="2159" priority="228">
      <formula>$B51="110"</formula>
    </cfRule>
  </conditionalFormatting>
  <conditionalFormatting sqref="O51:P51">
    <cfRule type="expression" dxfId="2158" priority="227">
      <formula>$B51="110"</formula>
    </cfRule>
  </conditionalFormatting>
  <conditionalFormatting sqref="D53:D65">
    <cfRule type="expression" dxfId="2157" priority="222">
      <formula>$B53="110"</formula>
    </cfRule>
  </conditionalFormatting>
  <conditionalFormatting sqref="B53:B65">
    <cfRule type="cellIs" dxfId="2156" priority="225" operator="equal">
      <formula>"110"</formula>
    </cfRule>
  </conditionalFormatting>
  <conditionalFormatting sqref="B53:C65">
    <cfRule type="expression" dxfId="2155" priority="224">
      <formula>$B53="110"</formula>
    </cfRule>
  </conditionalFormatting>
  <conditionalFormatting sqref="B53:B65">
    <cfRule type="cellIs" dxfId="2154" priority="223" operator="equal">
      <formula>"310"</formula>
    </cfRule>
  </conditionalFormatting>
  <conditionalFormatting sqref="R53:R65">
    <cfRule type="expression" dxfId="2153" priority="226">
      <formula>$D53="110"</formula>
    </cfRule>
  </conditionalFormatting>
  <conditionalFormatting sqref="O53:Q53">
    <cfRule type="expression" dxfId="2152" priority="221">
      <formula>$B53="110"</formula>
    </cfRule>
  </conditionalFormatting>
  <conditionalFormatting sqref="D67:D69">
    <cfRule type="expression" dxfId="2151" priority="216">
      <formula>$B67="110"</formula>
    </cfRule>
  </conditionalFormatting>
  <conditionalFormatting sqref="B67:B69">
    <cfRule type="cellIs" dxfId="2150" priority="219" operator="equal">
      <formula>"110"</formula>
    </cfRule>
  </conditionalFormatting>
  <conditionalFormatting sqref="B67:C69">
    <cfRule type="expression" dxfId="2149" priority="218">
      <formula>$B67="110"</formula>
    </cfRule>
  </conditionalFormatting>
  <conditionalFormatting sqref="B67:B69">
    <cfRule type="cellIs" dxfId="2148" priority="217" operator="equal">
      <formula>"310"</formula>
    </cfRule>
  </conditionalFormatting>
  <conditionalFormatting sqref="R67:R69">
    <cfRule type="expression" dxfId="2147" priority="220">
      <formula>$D67="110"</formula>
    </cfRule>
  </conditionalFormatting>
  <conditionalFormatting sqref="O67:Q67">
    <cfRule type="expression" dxfId="2146" priority="215">
      <formula>$B67="110"</formula>
    </cfRule>
  </conditionalFormatting>
  <conditionalFormatting sqref="D71:D72">
    <cfRule type="expression" dxfId="2145" priority="210">
      <formula>$B71="110"</formula>
    </cfRule>
  </conditionalFormatting>
  <conditionalFormatting sqref="B71:B72">
    <cfRule type="cellIs" dxfId="2144" priority="213" operator="equal">
      <formula>"110"</formula>
    </cfRule>
  </conditionalFormatting>
  <conditionalFormatting sqref="B71:C72">
    <cfRule type="expression" dxfId="2143" priority="212">
      <formula>$B71="110"</formula>
    </cfRule>
  </conditionalFormatting>
  <conditionalFormatting sqref="B71:B72">
    <cfRule type="cellIs" dxfId="2142" priority="211" operator="equal">
      <formula>"310"</formula>
    </cfRule>
  </conditionalFormatting>
  <conditionalFormatting sqref="R71:R72">
    <cfRule type="expression" dxfId="2141" priority="214">
      <formula>$D71="110"</formula>
    </cfRule>
  </conditionalFormatting>
  <conditionalFormatting sqref="O71:P72">
    <cfRule type="expression" dxfId="2140" priority="209">
      <formula>$B71="110"</formula>
    </cfRule>
  </conditionalFormatting>
  <conditionalFormatting sqref="D74:D76">
    <cfRule type="expression" dxfId="2139" priority="204">
      <formula>$B74="110"</formula>
    </cfRule>
  </conditionalFormatting>
  <conditionalFormatting sqref="B74:B76">
    <cfRule type="cellIs" dxfId="2138" priority="207" operator="equal">
      <formula>"110"</formula>
    </cfRule>
  </conditionalFormatting>
  <conditionalFormatting sqref="B74:C76">
    <cfRule type="expression" dxfId="2137" priority="206">
      <formula>$B74="110"</formula>
    </cfRule>
  </conditionalFormatting>
  <conditionalFormatting sqref="B74:B76">
    <cfRule type="cellIs" dxfId="2136" priority="205" operator="equal">
      <formula>"310"</formula>
    </cfRule>
  </conditionalFormatting>
  <conditionalFormatting sqref="R74:R76">
    <cfRule type="expression" dxfId="2135" priority="208">
      <formula>$D74="110"</formula>
    </cfRule>
  </conditionalFormatting>
  <conditionalFormatting sqref="O74:P74">
    <cfRule type="expression" dxfId="2134" priority="203">
      <formula>$B74="110"</formula>
    </cfRule>
  </conditionalFormatting>
  <conditionalFormatting sqref="O75:P76">
    <cfRule type="expression" dxfId="2133" priority="202">
      <formula>$B75="110"</formula>
    </cfRule>
  </conditionalFormatting>
  <conditionalFormatting sqref="D80:D90">
    <cfRule type="expression" dxfId="2132" priority="197">
      <formula>$B80="110"</formula>
    </cfRule>
  </conditionalFormatting>
  <conditionalFormatting sqref="B80:B90">
    <cfRule type="cellIs" dxfId="2131" priority="200" operator="equal">
      <formula>"110"</formula>
    </cfRule>
  </conditionalFormatting>
  <conditionalFormatting sqref="B80:C90">
    <cfRule type="expression" dxfId="2130" priority="199">
      <formula>$B80="110"</formula>
    </cfRule>
  </conditionalFormatting>
  <conditionalFormatting sqref="B80:B90">
    <cfRule type="cellIs" dxfId="2129" priority="198" operator="equal">
      <formula>"310"</formula>
    </cfRule>
  </conditionalFormatting>
  <conditionalFormatting sqref="R80:R90">
    <cfRule type="expression" dxfId="2128" priority="201">
      <formula>$D80="110"</formula>
    </cfRule>
  </conditionalFormatting>
  <conditionalFormatting sqref="O80:P80">
    <cfRule type="expression" dxfId="2127" priority="196">
      <formula>$B80="110"</formula>
    </cfRule>
  </conditionalFormatting>
  <conditionalFormatting sqref="O81:Q81">
    <cfRule type="expression" dxfId="2126" priority="195">
      <formula>$B81="110"</formula>
    </cfRule>
  </conditionalFormatting>
  <conditionalFormatting sqref="D92:D94">
    <cfRule type="expression" dxfId="2125" priority="190">
      <formula>$B92="110"</formula>
    </cfRule>
  </conditionalFormatting>
  <conditionalFormatting sqref="B92:B94">
    <cfRule type="cellIs" dxfId="2124" priority="193" operator="equal">
      <formula>"110"</formula>
    </cfRule>
  </conditionalFormatting>
  <conditionalFormatting sqref="B92:C94">
    <cfRule type="expression" dxfId="2123" priority="192">
      <formula>$B92="110"</formula>
    </cfRule>
  </conditionalFormatting>
  <conditionalFormatting sqref="B92:B94">
    <cfRule type="cellIs" dxfId="2122" priority="191" operator="equal">
      <formula>"310"</formula>
    </cfRule>
  </conditionalFormatting>
  <conditionalFormatting sqref="R92:R94">
    <cfRule type="expression" dxfId="2121" priority="194">
      <formula>$D92="110"</formula>
    </cfRule>
  </conditionalFormatting>
  <conditionalFormatting sqref="O92:P94">
    <cfRule type="expression" dxfId="2120" priority="189">
      <formula>$B92="110"</formula>
    </cfRule>
  </conditionalFormatting>
  <conditionalFormatting sqref="D96:D103">
    <cfRule type="expression" dxfId="2119" priority="184">
      <formula>$B96="110"</formula>
    </cfRule>
  </conditionalFormatting>
  <conditionalFormatting sqref="B96:B103">
    <cfRule type="cellIs" dxfId="2118" priority="187" operator="equal">
      <formula>"110"</formula>
    </cfRule>
  </conditionalFormatting>
  <conditionalFormatting sqref="B96:C103">
    <cfRule type="expression" dxfId="2117" priority="186">
      <formula>$B96="110"</formula>
    </cfRule>
  </conditionalFormatting>
  <conditionalFormatting sqref="B96:B103">
    <cfRule type="cellIs" dxfId="2116" priority="185" operator="equal">
      <formula>"310"</formula>
    </cfRule>
  </conditionalFormatting>
  <conditionalFormatting sqref="R96:R103">
    <cfRule type="expression" dxfId="2115" priority="188">
      <formula>$D96="110"</formula>
    </cfRule>
  </conditionalFormatting>
  <conditionalFormatting sqref="O96:Q96">
    <cfRule type="expression" dxfId="2114" priority="183">
      <formula>$B96="110"</formula>
    </cfRule>
  </conditionalFormatting>
  <conditionalFormatting sqref="O99:Q99">
    <cfRule type="expression" dxfId="2113" priority="182">
      <formula>$B99="110"</formula>
    </cfRule>
  </conditionalFormatting>
  <conditionalFormatting sqref="O109:Q109">
    <cfRule type="expression" dxfId="2112" priority="176">
      <formula>$B109="110"</formula>
    </cfRule>
  </conditionalFormatting>
  <conditionalFormatting sqref="D105:D118">
    <cfRule type="expression" dxfId="2111" priority="177">
      <formula>$B105="110"</formula>
    </cfRule>
  </conditionalFormatting>
  <conditionalFormatting sqref="B105:B118">
    <cfRule type="cellIs" dxfId="2110" priority="180" operator="equal">
      <formula>"110"</formula>
    </cfRule>
  </conditionalFormatting>
  <conditionalFormatting sqref="B105:C118">
    <cfRule type="expression" dxfId="2109" priority="179">
      <formula>$B105="110"</formula>
    </cfRule>
  </conditionalFormatting>
  <conditionalFormatting sqref="B105:B118">
    <cfRule type="cellIs" dxfId="2108" priority="178" operator="equal">
      <formula>"310"</formula>
    </cfRule>
  </conditionalFormatting>
  <conditionalFormatting sqref="R105:R118">
    <cfRule type="expression" dxfId="2107" priority="181">
      <formula>$D105="110"</formula>
    </cfRule>
  </conditionalFormatting>
  <conditionalFormatting sqref="O121:P121">
    <cfRule type="expression" dxfId="2106" priority="173">
      <formula>$B121="110"</formula>
    </cfRule>
  </conditionalFormatting>
  <conditionalFormatting sqref="O120:P120">
    <cfRule type="expression" dxfId="2105" priority="174">
      <formula>$B120="110"</formula>
    </cfRule>
  </conditionalFormatting>
  <conditionalFormatting sqref="D120:D125">
    <cfRule type="expression" dxfId="2104" priority="175">
      <formula>$B120="110"</formula>
    </cfRule>
  </conditionalFormatting>
  <conditionalFormatting sqref="O129:Q129">
    <cfRule type="expression" dxfId="2103" priority="167">
      <formula>$B129="110"</formula>
    </cfRule>
  </conditionalFormatting>
  <conditionalFormatting sqref="B129:B135">
    <cfRule type="cellIs" dxfId="2102" priority="171" operator="equal">
      <formula>"110"</formula>
    </cfRule>
  </conditionalFormatting>
  <conditionalFormatting sqref="B129:C135">
    <cfRule type="expression" dxfId="2101" priority="170">
      <formula>$B129="110"</formula>
    </cfRule>
  </conditionalFormatting>
  <conditionalFormatting sqref="B129:B135">
    <cfRule type="cellIs" dxfId="2100" priority="169" operator="equal">
      <formula>"310"</formula>
    </cfRule>
  </conditionalFormatting>
  <conditionalFormatting sqref="R129:R135">
    <cfRule type="expression" dxfId="2099" priority="172">
      <formula>$D129="110"</formula>
    </cfRule>
  </conditionalFormatting>
  <conditionalFormatting sqref="D129:D135">
    <cfRule type="expression" dxfId="2098" priority="168">
      <formula>$B129="110"</formula>
    </cfRule>
  </conditionalFormatting>
  <conditionalFormatting sqref="O130:P135">
    <cfRule type="expression" dxfId="2097" priority="166">
      <formula>$B130="110"</formula>
    </cfRule>
  </conditionalFormatting>
  <conditionalFormatting sqref="O138:Q138">
    <cfRule type="expression" dxfId="2096" priority="160">
      <formula>$B138="110"</formula>
    </cfRule>
  </conditionalFormatting>
  <conditionalFormatting sqref="B137:B147">
    <cfRule type="cellIs" dxfId="2095" priority="164" operator="equal">
      <formula>"110"</formula>
    </cfRule>
  </conditionalFormatting>
  <conditionalFormatting sqref="B137:C147">
    <cfRule type="expression" dxfId="2094" priority="163">
      <formula>$B137="110"</formula>
    </cfRule>
  </conditionalFormatting>
  <conditionalFormatting sqref="B137:B147">
    <cfRule type="cellIs" dxfId="2093" priority="162" operator="equal">
      <formula>"310"</formula>
    </cfRule>
  </conditionalFormatting>
  <conditionalFormatting sqref="R137:R147">
    <cfRule type="expression" dxfId="2092" priority="165">
      <formula>$D137="110"</formula>
    </cfRule>
  </conditionalFormatting>
  <conditionalFormatting sqref="D137:D147">
    <cfRule type="expression" dxfId="2091" priority="161">
      <formula>$B137="110"</formula>
    </cfRule>
  </conditionalFormatting>
  <conditionalFormatting sqref="O149:Q149">
    <cfRule type="expression" dxfId="2090" priority="154">
      <formula>$B149="110"</formula>
    </cfRule>
  </conditionalFormatting>
  <conditionalFormatting sqref="B149:B166 B168:B171 B173:B175">
    <cfRule type="cellIs" dxfId="2089" priority="158" operator="equal">
      <formula>"110"</formula>
    </cfRule>
  </conditionalFormatting>
  <conditionalFormatting sqref="B149:C166">
    <cfRule type="expression" dxfId="2088" priority="157">
      <formula>$B149="110"</formula>
    </cfRule>
  </conditionalFormatting>
  <conditionalFormatting sqref="B149:B166 B168:B171 B173:B175">
    <cfRule type="cellIs" dxfId="2087" priority="156" operator="equal">
      <formula>"310"</formula>
    </cfRule>
  </conditionalFormatting>
  <conditionalFormatting sqref="R149:R166">
    <cfRule type="expression" dxfId="2086" priority="159">
      <formula>$D149="110"</formula>
    </cfRule>
  </conditionalFormatting>
  <conditionalFormatting sqref="D149:D166">
    <cfRule type="expression" dxfId="2085" priority="155">
      <formula>$B149="110"</formula>
    </cfRule>
  </conditionalFormatting>
  <conditionalFormatting sqref="O150:P161">
    <cfRule type="expression" dxfId="2084" priority="153">
      <formula>$B150="110"</formula>
    </cfRule>
  </conditionalFormatting>
  <conditionalFormatting sqref="O162:Q162">
    <cfRule type="expression" dxfId="2083" priority="152">
      <formula>$B162="110"</formula>
    </cfRule>
  </conditionalFormatting>
  <conditionalFormatting sqref="O170:P171">
    <cfRule type="expression" dxfId="2082" priority="147">
      <formula>$B170="110"</formula>
    </cfRule>
  </conditionalFormatting>
  <conditionalFormatting sqref="B172">
    <cfRule type="cellIs" dxfId="2081" priority="151" operator="equal">
      <formula>"110"</formula>
    </cfRule>
  </conditionalFormatting>
  <conditionalFormatting sqref="B172:R172">
    <cfRule type="expression" dxfId="2080" priority="150">
      <formula>$B172="110"</formula>
    </cfRule>
  </conditionalFormatting>
  <conditionalFormatting sqref="B172">
    <cfRule type="cellIs" dxfId="2079" priority="149" operator="equal">
      <formula>"310"</formula>
    </cfRule>
  </conditionalFormatting>
  <conditionalFormatting sqref="O169:P169">
    <cfRule type="expression" dxfId="2078" priority="148">
      <formula>$B169="110"</formula>
    </cfRule>
  </conditionalFormatting>
  <conditionalFormatting sqref="O173:P175">
    <cfRule type="expression" dxfId="2077" priority="143">
      <formula>$B173="110"</formula>
    </cfRule>
  </conditionalFormatting>
  <conditionalFormatting sqref="B176">
    <cfRule type="cellIs" dxfId="2076" priority="146" operator="equal">
      <formula>"110"</formula>
    </cfRule>
  </conditionalFormatting>
  <conditionalFormatting sqref="B176:R176">
    <cfRule type="expression" dxfId="2075" priority="145">
      <formula>$B176="110"</formula>
    </cfRule>
  </conditionalFormatting>
  <conditionalFormatting sqref="B176">
    <cfRule type="cellIs" dxfId="2074" priority="144" operator="equal">
      <formula>"310"</formula>
    </cfRule>
  </conditionalFormatting>
  <conditionalFormatting sqref="O177:Q177">
    <cfRule type="expression" dxfId="2073" priority="137">
      <formula>$B177="110"</formula>
    </cfRule>
  </conditionalFormatting>
  <conditionalFormatting sqref="B177">
    <cfRule type="cellIs" dxfId="2072" priority="141" operator="equal">
      <formula>"110"</formula>
    </cfRule>
  </conditionalFormatting>
  <conditionalFormatting sqref="B177:C177">
    <cfRule type="expression" dxfId="2071" priority="140">
      <formula>$B177="110"</formula>
    </cfRule>
  </conditionalFormatting>
  <conditionalFormatting sqref="B177">
    <cfRule type="cellIs" dxfId="2070" priority="139" operator="equal">
      <formula>"310"</formula>
    </cfRule>
  </conditionalFormatting>
  <conditionalFormatting sqref="R177">
    <cfRule type="expression" dxfId="2069" priority="142">
      <formula>$D177="110"</formula>
    </cfRule>
  </conditionalFormatting>
  <conditionalFormatting sqref="D177">
    <cfRule type="expression" dxfId="2068" priority="138">
      <formula>$B177="110"</formula>
    </cfRule>
  </conditionalFormatting>
  <conditionalFormatting sqref="B179:B215">
    <cfRule type="cellIs" dxfId="2067" priority="135" operator="equal">
      <formula>"110"</formula>
    </cfRule>
  </conditionalFormatting>
  <conditionalFormatting sqref="B179:C215">
    <cfRule type="expression" dxfId="2066" priority="134">
      <formula>$B179="110"</formula>
    </cfRule>
  </conditionalFormatting>
  <conditionalFormatting sqref="B179:B215">
    <cfRule type="cellIs" dxfId="2065" priority="133" operator="equal">
      <formula>"310"</formula>
    </cfRule>
  </conditionalFormatting>
  <conditionalFormatting sqref="D179:D215">
    <cfRule type="expression" dxfId="2064" priority="132">
      <formula>$B179="110"</formula>
    </cfRule>
  </conditionalFormatting>
  <conditionalFormatting sqref="O179:Q180">
    <cfRule type="expression" dxfId="2063" priority="131">
      <formula>$B179="110"</formula>
    </cfRule>
  </conditionalFormatting>
  <conditionalFormatting sqref="E179:N215">
    <cfRule type="expression" dxfId="2062" priority="136">
      <formula>$D179="110"</formula>
    </cfRule>
  </conditionalFormatting>
  <conditionalFormatting sqref="O217:Q217">
    <cfRule type="expression" dxfId="2061" priority="125">
      <formula>$B217="110"</formula>
    </cfRule>
  </conditionalFormatting>
  <conditionalFormatting sqref="B217:B220">
    <cfRule type="cellIs" dxfId="2060" priority="129" operator="equal">
      <formula>"110"</formula>
    </cfRule>
  </conditionalFormatting>
  <conditionalFormatting sqref="B217:C220">
    <cfRule type="expression" dxfId="2059" priority="128">
      <formula>$B217="110"</formula>
    </cfRule>
  </conditionalFormatting>
  <conditionalFormatting sqref="B217:B220">
    <cfRule type="cellIs" dxfId="2058" priority="127" operator="equal">
      <formula>"310"</formula>
    </cfRule>
  </conditionalFormatting>
  <conditionalFormatting sqref="D217:D220">
    <cfRule type="expression" dxfId="2057" priority="126">
      <formula>$B217="110"</formula>
    </cfRule>
  </conditionalFormatting>
  <conditionalFormatting sqref="E217:N220">
    <cfRule type="expression" dxfId="2056" priority="130">
      <formula>$D217="110"</formula>
    </cfRule>
  </conditionalFormatting>
  <conditionalFormatting sqref="O222:P222">
    <cfRule type="expression" dxfId="2055" priority="119">
      <formula>$B222="110"</formula>
    </cfRule>
  </conditionalFormatting>
  <conditionalFormatting sqref="B222:B226">
    <cfRule type="cellIs" dxfId="2054" priority="123" operator="equal">
      <formula>"110"</formula>
    </cfRule>
  </conditionalFormatting>
  <conditionalFormatting sqref="B222:C226">
    <cfRule type="expression" dxfId="2053" priority="122">
      <formula>$B222="110"</formula>
    </cfRule>
  </conditionalFormatting>
  <conditionalFormatting sqref="B222:B226">
    <cfRule type="cellIs" dxfId="2052" priority="121" operator="equal">
      <formula>"310"</formula>
    </cfRule>
  </conditionalFormatting>
  <conditionalFormatting sqref="D222:D226">
    <cfRule type="expression" dxfId="2051" priority="120">
      <formula>$B222="110"</formula>
    </cfRule>
  </conditionalFormatting>
  <conditionalFormatting sqref="E222:N226">
    <cfRule type="expression" dxfId="2050" priority="124">
      <formula>$D222="110"</formula>
    </cfRule>
  </conditionalFormatting>
  <conditionalFormatting sqref="O223:P226">
    <cfRule type="expression" dxfId="2049" priority="118">
      <formula>$B223="110"</formula>
    </cfRule>
  </conditionalFormatting>
  <conditionalFormatting sqref="B228:B241">
    <cfRule type="cellIs" dxfId="2048" priority="116" operator="equal">
      <formula>"110"</formula>
    </cfRule>
  </conditionalFormatting>
  <conditionalFormatting sqref="B228:C241">
    <cfRule type="expression" dxfId="2047" priority="115">
      <formula>$B228="110"</formula>
    </cfRule>
  </conditionalFormatting>
  <conditionalFormatting sqref="B228:B241">
    <cfRule type="cellIs" dxfId="2046" priority="114" operator="equal">
      <formula>"310"</formula>
    </cfRule>
  </conditionalFormatting>
  <conditionalFormatting sqref="D228:D241">
    <cfRule type="expression" dxfId="2045" priority="113">
      <formula>$B228="110"</formula>
    </cfRule>
  </conditionalFormatting>
  <conditionalFormatting sqref="E228:N241">
    <cfRule type="expression" dxfId="2044" priority="117">
      <formula>$D228="110"</formula>
    </cfRule>
  </conditionalFormatting>
  <conditionalFormatting sqref="O228:Q228">
    <cfRule type="expression" dxfId="2043" priority="112">
      <formula>$B228="110"</formula>
    </cfRule>
  </conditionalFormatting>
  <conditionalFormatting sqref="O251:Q251">
    <cfRule type="expression" dxfId="2042" priority="106">
      <formula>$B251="110"</formula>
    </cfRule>
  </conditionalFormatting>
  <conditionalFormatting sqref="B246:B268">
    <cfRule type="cellIs" dxfId="2041" priority="110" operator="equal">
      <formula>"110"</formula>
    </cfRule>
  </conditionalFormatting>
  <conditionalFormatting sqref="B246:C268">
    <cfRule type="expression" dxfId="2040" priority="109">
      <formula>$B246="110"</formula>
    </cfRule>
  </conditionalFormatting>
  <conditionalFormatting sqref="B246:B268">
    <cfRule type="cellIs" dxfId="2039" priority="108" operator="equal">
      <formula>"310"</formula>
    </cfRule>
  </conditionalFormatting>
  <conditionalFormatting sqref="D246:D268">
    <cfRule type="expression" dxfId="2038" priority="107">
      <formula>$B246="110"</formula>
    </cfRule>
  </conditionalFormatting>
  <conditionalFormatting sqref="E246:N268">
    <cfRule type="expression" dxfId="2037" priority="111">
      <formula>$D246="110"</formula>
    </cfRule>
  </conditionalFormatting>
  <conditionalFormatting sqref="O270:Q270">
    <cfRule type="expression" dxfId="2036" priority="100">
      <formula>$B270="110"</formula>
    </cfRule>
  </conditionalFormatting>
  <conditionalFormatting sqref="B270:B283">
    <cfRule type="cellIs" dxfId="2035" priority="104" operator="equal">
      <formula>"110"</formula>
    </cfRule>
  </conditionalFormatting>
  <conditionalFormatting sqref="B270:C283">
    <cfRule type="expression" dxfId="2034" priority="103">
      <formula>$B270="110"</formula>
    </cfRule>
  </conditionalFormatting>
  <conditionalFormatting sqref="B270:B283">
    <cfRule type="cellIs" dxfId="2033" priority="102" operator="equal">
      <formula>"310"</formula>
    </cfRule>
  </conditionalFormatting>
  <conditionalFormatting sqref="D270:D283">
    <cfRule type="expression" dxfId="2032" priority="101">
      <formula>$B270="110"</formula>
    </cfRule>
  </conditionalFormatting>
  <conditionalFormatting sqref="E270:N283">
    <cfRule type="expression" dxfId="2031" priority="105">
      <formula>$D270="110"</formula>
    </cfRule>
  </conditionalFormatting>
  <conditionalFormatting sqref="O286:P286">
    <cfRule type="expression" dxfId="2030" priority="99">
      <formula>$B286="110"</formula>
    </cfRule>
  </conditionalFormatting>
  <conditionalFormatting sqref="O287:Q287">
    <cfRule type="expression" dxfId="2029" priority="93">
      <formula>$B287="110"</formula>
    </cfRule>
  </conditionalFormatting>
  <conditionalFormatting sqref="B287:B294">
    <cfRule type="cellIs" dxfId="2028" priority="97" operator="equal">
      <formula>"110"</formula>
    </cfRule>
  </conditionalFormatting>
  <conditionalFormatting sqref="B287:C294">
    <cfRule type="expression" dxfId="2027" priority="96">
      <formula>$B287="110"</formula>
    </cfRule>
  </conditionalFormatting>
  <conditionalFormatting sqref="B287:B294">
    <cfRule type="cellIs" dxfId="2026" priority="95" operator="equal">
      <formula>"310"</formula>
    </cfRule>
  </conditionalFormatting>
  <conditionalFormatting sqref="D287:D294">
    <cfRule type="expression" dxfId="2025" priority="94">
      <formula>$B287="110"</formula>
    </cfRule>
  </conditionalFormatting>
  <conditionalFormatting sqref="E287:N294">
    <cfRule type="expression" dxfId="2024" priority="98">
      <formula>$D287="110"</formula>
    </cfRule>
  </conditionalFormatting>
  <conditionalFormatting sqref="O297:Q297">
    <cfRule type="expression" dxfId="2023" priority="87">
      <formula>$B297="110"</formula>
    </cfRule>
  </conditionalFormatting>
  <conditionalFormatting sqref="B297:B307">
    <cfRule type="cellIs" dxfId="2022" priority="91" operator="equal">
      <formula>"110"</formula>
    </cfRule>
  </conditionalFormatting>
  <conditionalFormatting sqref="B297:C307">
    <cfRule type="expression" dxfId="2021" priority="90">
      <formula>$B297="110"</formula>
    </cfRule>
  </conditionalFormatting>
  <conditionalFormatting sqref="B297:B307">
    <cfRule type="cellIs" dxfId="2020" priority="89" operator="equal">
      <formula>"310"</formula>
    </cfRule>
  </conditionalFormatting>
  <conditionalFormatting sqref="D297:D307">
    <cfRule type="expression" dxfId="2019" priority="88">
      <formula>$B297="110"</formula>
    </cfRule>
  </conditionalFormatting>
  <conditionalFormatting sqref="E297:N307">
    <cfRule type="expression" dxfId="2018" priority="92">
      <formula>$D297="110"</formula>
    </cfRule>
  </conditionalFormatting>
  <conditionalFormatting sqref="O298:P307">
    <cfRule type="expression" dxfId="2017" priority="86">
      <formula>$B298="110"</formula>
    </cfRule>
  </conditionalFormatting>
  <conditionalFormatting sqref="O309:Q309">
    <cfRule type="expression" dxfId="2016" priority="80">
      <formula>$B309="110"</formula>
    </cfRule>
  </conditionalFormatting>
  <conditionalFormatting sqref="B309:B320">
    <cfRule type="cellIs" dxfId="2015" priority="84" operator="equal">
      <formula>"110"</formula>
    </cfRule>
  </conditionalFormatting>
  <conditionalFormatting sqref="B309:C320">
    <cfRule type="expression" dxfId="2014" priority="83">
      <formula>$B309="110"</formula>
    </cfRule>
  </conditionalFormatting>
  <conditionalFormatting sqref="B309:B320">
    <cfRule type="cellIs" dxfId="2013" priority="82" operator="equal">
      <formula>"310"</formula>
    </cfRule>
  </conditionalFormatting>
  <conditionalFormatting sqref="D309:D320">
    <cfRule type="expression" dxfId="2012" priority="81">
      <formula>$B309="110"</formula>
    </cfRule>
  </conditionalFormatting>
  <conditionalFormatting sqref="E309:N320">
    <cfRule type="expression" dxfId="2011" priority="85">
      <formula>$D309="110"</formula>
    </cfRule>
  </conditionalFormatting>
  <conditionalFormatting sqref="O322:P326">
    <cfRule type="expression" dxfId="2010" priority="74">
      <formula>$B322="110"</formula>
    </cfRule>
  </conditionalFormatting>
  <conditionalFormatting sqref="B322:B326">
    <cfRule type="cellIs" dxfId="2009" priority="78" operator="equal">
      <formula>"110"</formula>
    </cfRule>
  </conditionalFormatting>
  <conditionalFormatting sqref="B322:C326">
    <cfRule type="expression" dxfId="2008" priority="77">
      <formula>$B322="110"</formula>
    </cfRule>
  </conditionalFormatting>
  <conditionalFormatting sqref="B322:B326">
    <cfRule type="cellIs" dxfId="2007" priority="76" operator="equal">
      <formula>"310"</formula>
    </cfRule>
  </conditionalFormatting>
  <conditionalFormatting sqref="D322:D326">
    <cfRule type="expression" dxfId="2006" priority="75">
      <formula>$B322="110"</formula>
    </cfRule>
  </conditionalFormatting>
  <conditionalFormatting sqref="E322:N326">
    <cfRule type="expression" dxfId="2005" priority="79">
      <formula>$D322="110"</formula>
    </cfRule>
  </conditionalFormatting>
  <conditionalFormatting sqref="O328:Q328">
    <cfRule type="expression" dxfId="2004" priority="68">
      <formula>$B328="110"</formula>
    </cfRule>
  </conditionalFormatting>
  <conditionalFormatting sqref="B328:B332">
    <cfRule type="cellIs" dxfId="2003" priority="72" operator="equal">
      <formula>"110"</formula>
    </cfRule>
  </conditionalFormatting>
  <conditionalFormatting sqref="B328:C332">
    <cfRule type="expression" dxfId="2002" priority="71">
      <formula>$B328="110"</formula>
    </cfRule>
  </conditionalFormatting>
  <conditionalFormatting sqref="B328:B332">
    <cfRule type="cellIs" dxfId="2001" priority="70" operator="equal">
      <formula>"310"</formula>
    </cfRule>
  </conditionalFormatting>
  <conditionalFormatting sqref="D328:D332">
    <cfRule type="expression" dxfId="2000" priority="69">
      <formula>$B328="110"</formula>
    </cfRule>
  </conditionalFormatting>
  <conditionalFormatting sqref="E328:N332">
    <cfRule type="expression" dxfId="1999" priority="73">
      <formula>$D328="110"</formula>
    </cfRule>
  </conditionalFormatting>
  <conditionalFormatting sqref="O334:P340">
    <cfRule type="expression" dxfId="1998" priority="62">
      <formula>$B334="110"</formula>
    </cfRule>
  </conditionalFormatting>
  <conditionalFormatting sqref="B334:B340">
    <cfRule type="cellIs" dxfId="1997" priority="66" operator="equal">
      <formula>"110"</formula>
    </cfRule>
  </conditionalFormatting>
  <conditionalFormatting sqref="B334:C340">
    <cfRule type="expression" dxfId="1996" priority="65">
      <formula>$B334="110"</formula>
    </cfRule>
  </conditionalFormatting>
  <conditionalFormatting sqref="B334:B340">
    <cfRule type="cellIs" dxfId="1995" priority="64" operator="equal">
      <formula>"310"</formula>
    </cfRule>
  </conditionalFormatting>
  <conditionalFormatting sqref="D334:D340">
    <cfRule type="expression" dxfId="1994" priority="63">
      <formula>$B334="110"</formula>
    </cfRule>
  </conditionalFormatting>
  <conditionalFormatting sqref="E334:N340">
    <cfRule type="expression" dxfId="1993" priority="67">
      <formula>$D334="110"</formula>
    </cfRule>
  </conditionalFormatting>
  <conditionalFormatting sqref="O342:P349">
    <cfRule type="expression" dxfId="1992" priority="56">
      <formula>$B342="110"</formula>
    </cfRule>
  </conditionalFormatting>
  <conditionalFormatting sqref="B342:B349">
    <cfRule type="cellIs" dxfId="1991" priority="60" operator="equal">
      <formula>"110"</formula>
    </cfRule>
  </conditionalFormatting>
  <conditionalFormatting sqref="B342:C349">
    <cfRule type="expression" dxfId="1990" priority="59">
      <formula>$B342="110"</formula>
    </cfRule>
  </conditionalFormatting>
  <conditionalFormatting sqref="B342:B349">
    <cfRule type="cellIs" dxfId="1989" priority="58" operator="equal">
      <formula>"310"</formula>
    </cfRule>
  </conditionalFormatting>
  <conditionalFormatting sqref="D342:D349">
    <cfRule type="expression" dxfId="1988" priority="57">
      <formula>$B342="110"</formula>
    </cfRule>
  </conditionalFormatting>
  <conditionalFormatting sqref="E342:N349">
    <cfRule type="expression" dxfId="1987" priority="61">
      <formula>$D342="110"</formula>
    </cfRule>
  </conditionalFormatting>
  <conditionalFormatting sqref="O353:P357">
    <cfRule type="expression" dxfId="1986" priority="50">
      <formula>$B353="110"</formula>
    </cfRule>
  </conditionalFormatting>
  <conditionalFormatting sqref="B353:B357">
    <cfRule type="cellIs" dxfId="1985" priority="54" operator="equal">
      <formula>"110"</formula>
    </cfRule>
  </conditionalFormatting>
  <conditionalFormatting sqref="B353:C357">
    <cfRule type="expression" dxfId="1984" priority="53">
      <formula>$B353="110"</formula>
    </cfRule>
  </conditionalFormatting>
  <conditionalFormatting sqref="B353:B357">
    <cfRule type="cellIs" dxfId="1983" priority="52" operator="equal">
      <formula>"310"</formula>
    </cfRule>
  </conditionalFormatting>
  <conditionalFormatting sqref="D353:D357">
    <cfRule type="expression" dxfId="1982" priority="51">
      <formula>$B353="110"</formula>
    </cfRule>
  </conditionalFormatting>
  <conditionalFormatting sqref="E353:N357">
    <cfRule type="expression" dxfId="1981" priority="55">
      <formula>$D353="110"</formula>
    </cfRule>
  </conditionalFormatting>
  <conditionalFormatting sqref="O360:Q360">
    <cfRule type="expression" dxfId="1980" priority="44">
      <formula>$B360="110"</formula>
    </cfRule>
  </conditionalFormatting>
  <conditionalFormatting sqref="B360:B388">
    <cfRule type="cellIs" dxfId="1979" priority="48" operator="equal">
      <formula>"110"</formula>
    </cfRule>
  </conditionalFormatting>
  <conditionalFormatting sqref="B360:C388">
    <cfRule type="expression" dxfId="1978" priority="47">
      <formula>$B360="110"</formula>
    </cfRule>
  </conditionalFormatting>
  <conditionalFormatting sqref="B360:B388">
    <cfRule type="cellIs" dxfId="1977" priority="46" operator="equal">
      <formula>"310"</formula>
    </cfRule>
  </conditionalFormatting>
  <conditionalFormatting sqref="D360:D388">
    <cfRule type="expression" dxfId="1976" priority="45">
      <formula>$B360="110"</formula>
    </cfRule>
  </conditionalFormatting>
  <conditionalFormatting sqref="E360:N388">
    <cfRule type="expression" dxfId="1975" priority="49">
      <formula>$D360="110"</formula>
    </cfRule>
  </conditionalFormatting>
  <conditionalFormatting sqref="Q23">
    <cfRule type="expression" dxfId="1974" priority="43">
      <formula>$B23="110"</formula>
    </cfRule>
  </conditionalFormatting>
  <conditionalFormatting sqref="Q28:Q44">
    <cfRule type="expression" dxfId="1973" priority="42">
      <formula>$B28="110"</formula>
    </cfRule>
  </conditionalFormatting>
  <conditionalFormatting sqref="Q47:Q49">
    <cfRule type="expression" dxfId="1972" priority="41">
      <formula>$B47="110"</formula>
    </cfRule>
  </conditionalFormatting>
  <conditionalFormatting sqref="Q51">
    <cfRule type="expression" dxfId="1971" priority="40">
      <formula>$B51="110"</formula>
    </cfRule>
  </conditionalFormatting>
  <conditionalFormatting sqref="Q62:Q63">
    <cfRule type="expression" dxfId="1970" priority="39">
      <formula>$B62="110"</formula>
    </cfRule>
  </conditionalFormatting>
  <conditionalFormatting sqref="Q68">
    <cfRule type="expression" dxfId="1969" priority="38">
      <formula>$B68="110"</formula>
    </cfRule>
  </conditionalFormatting>
  <conditionalFormatting sqref="Q71">
    <cfRule type="expression" dxfId="1968" priority="37">
      <formula>$B71="110"</formula>
    </cfRule>
  </conditionalFormatting>
  <conditionalFormatting sqref="Q72">
    <cfRule type="expression" dxfId="1967" priority="36">
      <formula>$B72="110"</formula>
    </cfRule>
  </conditionalFormatting>
  <conditionalFormatting sqref="Q74:Q76">
    <cfRule type="expression" dxfId="1966" priority="35">
      <formula>$B74="110"</formula>
    </cfRule>
  </conditionalFormatting>
  <conditionalFormatting sqref="Q87:Q90">
    <cfRule type="expression" dxfId="1965" priority="34">
      <formula>$B87="110"</formula>
    </cfRule>
  </conditionalFormatting>
  <conditionalFormatting sqref="Q92">
    <cfRule type="expression" dxfId="1964" priority="33">
      <formula>$B92="110"</formula>
    </cfRule>
  </conditionalFormatting>
  <conditionalFormatting sqref="Q94">
    <cfRule type="expression" dxfId="1963" priority="32">
      <formula>$B94="110"</formula>
    </cfRule>
  </conditionalFormatting>
  <conditionalFormatting sqref="Q93">
    <cfRule type="expression" dxfId="1962" priority="31">
      <formula>$B93="110"</formula>
    </cfRule>
  </conditionalFormatting>
  <conditionalFormatting sqref="Q100:Q103">
    <cfRule type="expression" dxfId="1961" priority="30">
      <formula>$B100="110"</formula>
    </cfRule>
  </conditionalFormatting>
  <conditionalFormatting sqref="Q110:Q118">
    <cfRule type="expression" dxfId="1960" priority="29">
      <formula>$B110="110"</formula>
    </cfRule>
  </conditionalFormatting>
  <conditionalFormatting sqref="Q121:Q125">
    <cfRule type="expression" dxfId="1959" priority="28">
      <formula>$B121="110"</formula>
    </cfRule>
  </conditionalFormatting>
  <conditionalFormatting sqref="Q130:Q135">
    <cfRule type="expression" dxfId="1958" priority="27">
      <formula>$B130="110"</formula>
    </cfRule>
  </conditionalFormatting>
  <conditionalFormatting sqref="Q139:Q147">
    <cfRule type="expression" dxfId="1957" priority="26">
      <formula>$B139="110"</formula>
    </cfRule>
  </conditionalFormatting>
  <conditionalFormatting sqref="Q163:Q165">
    <cfRule type="expression" dxfId="1956" priority="25">
      <formula>$B163="110"</formula>
    </cfRule>
  </conditionalFormatting>
  <conditionalFormatting sqref="Q169:Q171">
    <cfRule type="expression" dxfId="1955" priority="24">
      <formula>$B169="110"</formula>
    </cfRule>
  </conditionalFormatting>
  <conditionalFormatting sqref="Q173:Q175">
    <cfRule type="expression" dxfId="1954" priority="23">
      <formula>$B173="110"</formula>
    </cfRule>
  </conditionalFormatting>
  <conditionalFormatting sqref="Q213:Q214">
    <cfRule type="expression" dxfId="1953" priority="22">
      <formula>$B213="110"</formula>
    </cfRule>
  </conditionalFormatting>
  <conditionalFormatting sqref="Q218:Q220">
    <cfRule type="expression" dxfId="1952" priority="21">
      <formula>$B218="110"</formula>
    </cfRule>
  </conditionalFormatting>
  <conditionalFormatting sqref="Q223:Q226">
    <cfRule type="expression" dxfId="1951" priority="20">
      <formula>$B223="110"</formula>
    </cfRule>
  </conditionalFormatting>
  <conditionalFormatting sqref="Q229:Q240">
    <cfRule type="expression" dxfId="1950" priority="19">
      <formula>$B229="110"</formula>
    </cfRule>
  </conditionalFormatting>
  <conditionalFormatting sqref="Q267:Q268">
    <cfRule type="expression" dxfId="1949" priority="18">
      <formula>$B267="110"</formula>
    </cfRule>
  </conditionalFormatting>
  <conditionalFormatting sqref="Q280:Q283">
    <cfRule type="expression" dxfId="1948" priority="17">
      <formula>$B280="110"</formula>
    </cfRule>
  </conditionalFormatting>
  <conditionalFormatting sqref="Q288:Q294">
    <cfRule type="expression" dxfId="1947" priority="16">
      <formula>$B288="110"</formula>
    </cfRule>
  </conditionalFormatting>
  <conditionalFormatting sqref="Q298:Q307">
    <cfRule type="expression" dxfId="1946" priority="15">
      <formula>$B298="110"</formula>
    </cfRule>
  </conditionalFormatting>
  <conditionalFormatting sqref="Q310:Q320">
    <cfRule type="expression" dxfId="1945" priority="14">
      <formula>$B310="110"</formula>
    </cfRule>
  </conditionalFormatting>
  <conditionalFormatting sqref="Q322:Q326">
    <cfRule type="expression" dxfId="1944" priority="13">
      <formula>$B322="110"</formula>
    </cfRule>
  </conditionalFormatting>
  <conditionalFormatting sqref="Q329:Q332">
    <cfRule type="expression" dxfId="1943" priority="12">
      <formula>$B329="110"</formula>
    </cfRule>
  </conditionalFormatting>
  <conditionalFormatting sqref="Q334:Q340">
    <cfRule type="expression" dxfId="1942" priority="11">
      <formula>$B334="110"</formula>
    </cfRule>
  </conditionalFormatting>
  <conditionalFormatting sqref="Q342:Q349">
    <cfRule type="expression" dxfId="1941" priority="10">
      <formula>$B342="110"</formula>
    </cfRule>
  </conditionalFormatting>
  <conditionalFormatting sqref="Q352:Q357">
    <cfRule type="expression" dxfId="1940" priority="9">
      <formula>$B352="110"</formula>
    </cfRule>
  </conditionalFormatting>
  <conditionalFormatting sqref="Q373:Q387">
    <cfRule type="expression" dxfId="1939" priority="8">
      <formula>$B373="110"</formula>
    </cfRule>
  </conditionalFormatting>
  <conditionalFormatting sqref="B245">
    <cfRule type="cellIs" dxfId="1938" priority="7" operator="equal">
      <formula>"110"</formula>
    </cfRule>
  </conditionalFormatting>
  <conditionalFormatting sqref="B245:C245">
    <cfRule type="expression" dxfId="1937" priority="6">
      <formula>$B245="110"</formula>
    </cfRule>
  </conditionalFormatting>
  <conditionalFormatting sqref="B245">
    <cfRule type="cellIs" dxfId="1936" priority="5" operator="equal">
      <formula>"310"</formula>
    </cfRule>
  </conditionalFormatting>
  <conditionalFormatting sqref="D245">
    <cfRule type="expression" dxfId="1935" priority="4">
      <formula>$B245="110"</formula>
    </cfRule>
  </conditionalFormatting>
  <conditionalFormatting sqref="E245:G245">
    <cfRule type="expression" dxfId="1934" priority="3">
      <formula>$B245="110"</formula>
    </cfRule>
  </conditionalFormatting>
  <conditionalFormatting sqref="Q222">
    <cfRule type="expression" dxfId="1933" priority="2">
      <formula>$B222="110"</formula>
    </cfRule>
  </conditionalFormatting>
  <conditionalFormatting sqref="Q120">
    <cfRule type="expression" dxfId="1932" priority="1">
      <formula>$B120="110"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32" fitToWidth="0" fitToHeight="8" orientation="portrait" r:id="rId1"/>
  <headerFooter>
    <oddHeader>עמוד &amp;P&amp;Rעדכון תקציב 2017</oddHeader>
    <oddFooter>&amp;C&amp;P</oddFooter>
  </headerFooter>
  <rowBreaks count="2" manualBreakCount="2">
    <brk id="148" max="29" man="1"/>
    <brk id="295" max="2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1" id="{713B4E61-873D-491C-A5FC-97D9E467EC17}">
            <xm:f>K$391&lt;&gt;'\\Server\alaa-pc.g\תקציבים\תקציבים 2017\פרדיס\[עדכון תקציב 2017 04.12.17.xlsx]ריכוז'!#REF!</xm:f>
            <x14:dxf>
              <fill>
                <patternFill>
                  <bgColor rgb="FFFF0000"/>
                </patternFill>
              </fill>
            </x14:dxf>
          </x14:cfRule>
          <xm:sqref>K391:Q391</xm:sqref>
        </x14:conditionalFormatting>
        <x14:conditionalFormatting xmlns:xm="http://schemas.microsoft.com/office/excel/2006/main">
          <x14:cfRule type="expression" priority="300" id="{57B346B2-F809-44F1-BB95-D9097C410DBA}">
            <xm:f>O$391&lt;&gt;'\\Server\alaa-pc.g\תקציבים\תקציבים 2017\פרדיס\[עדכון תקציב 2017 04.12.17.xlsx]ריכוז'!#REF!</xm:f>
            <x14:dxf>
              <fill>
                <patternFill>
                  <bgColor rgb="FFFF0000"/>
                </patternFill>
              </fill>
            </x14:dxf>
          </x14:cfRule>
          <xm:sqref>Q391 O391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50"/>
  <sheetViews>
    <sheetView rightToLeft="1" view="pageBreakPreview" zoomScale="115" zoomScaleNormal="100" zoomScaleSheetLayoutView="115" workbookViewId="0">
      <selection activeCell="A217" sqref="A1:A1048576"/>
    </sheetView>
  </sheetViews>
  <sheetFormatPr defaultColWidth="9" defaultRowHeight="15"/>
  <cols>
    <col min="1" max="1" width="10.875" style="1" bestFit="1" customWidth="1"/>
    <col min="2" max="2" width="5.625" style="1" customWidth="1"/>
    <col min="3" max="3" width="7" style="1" bestFit="1" customWidth="1"/>
    <col min="4" max="4" width="28.875" style="1" customWidth="1"/>
    <col min="5" max="5" width="11" style="1" hidden="1" customWidth="1"/>
    <col min="6" max="6" width="11.25" style="1" hidden="1" customWidth="1"/>
    <col min="7" max="7" width="12.75" style="1" hidden="1" customWidth="1"/>
    <col min="8" max="8" width="11.625" style="1" hidden="1" customWidth="1"/>
    <col min="9" max="9" width="9.375" style="1" hidden="1" customWidth="1"/>
    <col min="10" max="10" width="10.125" style="1" hidden="1" customWidth="1"/>
    <col min="11" max="14" width="11.125" style="1" hidden="1" customWidth="1"/>
    <col min="15" max="15" width="11.125" style="1" customWidth="1"/>
    <col min="16" max="16" width="15.625" style="1" hidden="1" customWidth="1"/>
    <col min="17" max="17" width="11.125" style="1" customWidth="1"/>
    <col min="18" max="18" width="11.125" style="1" hidden="1" customWidth="1"/>
    <col min="19" max="30" width="0" style="1" hidden="1" customWidth="1"/>
    <col min="31" max="31" width="11.875" style="1" hidden="1" customWidth="1"/>
    <col min="32" max="32" width="10.25" style="1" hidden="1" customWidth="1"/>
    <col min="33" max="16384" width="9" style="1"/>
  </cols>
  <sheetData>
    <row r="2" spans="1:31" s="6" customFormat="1" ht="31.5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166"/>
      <c r="S2" s="6" t="s">
        <v>20</v>
      </c>
    </row>
    <row r="3" spans="1:31" s="12" customFormat="1" ht="15.75" customHeight="1">
      <c r="A3" s="167"/>
      <c r="B3" s="227" t="s">
        <v>21</v>
      </c>
      <c r="C3" s="227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68"/>
      <c r="S3" s="12">
        <f t="shared" ref="S3:S70" si="0">IF(ISBLANK(A3),1,--OR(K3&gt;1,L3&gt;1,M3&gt;1))</f>
        <v>1</v>
      </c>
    </row>
    <row r="4" spans="1:31">
      <c r="A4" s="19">
        <v>1111000100</v>
      </c>
      <c r="B4" s="19" t="str">
        <f>MID(A4,8,3)</f>
        <v>100</v>
      </c>
      <c r="C4" s="19" t="str">
        <f>MID(A4,2,6)</f>
        <v>111000</v>
      </c>
      <c r="D4" s="19" t="s">
        <v>22</v>
      </c>
      <c r="E4" s="20">
        <v>6400000</v>
      </c>
      <c r="F4" s="20">
        <v>5036000</v>
      </c>
      <c r="G4" s="20">
        <f>F4*12/10</f>
        <v>6043200</v>
      </c>
      <c r="H4" s="20">
        <v>6600000</v>
      </c>
      <c r="I4" s="20" t="e">
        <f>VLOOKUP(A4,#REF!,6,0)</f>
        <v>#REF!</v>
      </c>
      <c r="J4" s="20" t="e">
        <f>+I4*1.71428571428571</f>
        <v>#REF!</v>
      </c>
      <c r="K4" s="20">
        <v>6250000</v>
      </c>
      <c r="L4" s="20">
        <v>6250000</v>
      </c>
      <c r="M4" s="20">
        <v>6400000</v>
      </c>
      <c r="N4" s="20">
        <v>4290000</v>
      </c>
      <c r="O4" s="20">
        <f>-VLOOKUP(A:A,'[1]דוח כספי 31.10'!A:J,9,0)</f>
        <v>4420000</v>
      </c>
      <c r="P4" s="20">
        <v>3600000</v>
      </c>
      <c r="Q4" s="20">
        <v>4350000</v>
      </c>
      <c r="R4" s="69"/>
      <c r="S4" s="12">
        <f t="shared" si="0"/>
        <v>1</v>
      </c>
      <c r="T4" s="22">
        <f>+P4-M4</f>
        <v>-2800000</v>
      </c>
      <c r="AE4" s="23">
        <f>O4-P4</f>
        <v>820000</v>
      </c>
    </row>
    <row r="5" spans="1:31">
      <c r="A5" s="19">
        <v>1112000121</v>
      </c>
      <c r="B5" s="19" t="str">
        <f>MID(A5,8,3)</f>
        <v>121</v>
      </c>
      <c r="C5" s="19" t="str">
        <f>MID(A5,2,6)</f>
        <v>112000</v>
      </c>
      <c r="D5" s="19" t="s">
        <v>23</v>
      </c>
      <c r="E5" s="20">
        <v>420000</v>
      </c>
      <c r="F5" s="20">
        <v>558000</v>
      </c>
      <c r="G5" s="20">
        <f>6474000-G4</f>
        <v>430800</v>
      </c>
      <c r="H5" s="20">
        <v>500000</v>
      </c>
      <c r="I5" s="20" t="e">
        <f>VLOOKUP(A5,#REF!,6,0)</f>
        <v>#REF!</v>
      </c>
      <c r="J5" s="20" t="e">
        <f>+I5*1.71428571428571</f>
        <v>#REF!</v>
      </c>
      <c r="K5" s="20">
        <v>550000</v>
      </c>
      <c r="L5" s="20">
        <v>550000</v>
      </c>
      <c r="M5" s="20">
        <v>600000</v>
      </c>
      <c r="N5" s="20">
        <v>380000</v>
      </c>
      <c r="O5" s="20">
        <v>2471000</v>
      </c>
      <c r="P5" s="20">
        <v>1250000</v>
      </c>
      <c r="Q5" s="20">
        <v>2000000</v>
      </c>
      <c r="R5" s="69"/>
      <c r="S5" s="12">
        <f t="shared" si="0"/>
        <v>1</v>
      </c>
      <c r="T5" s="22">
        <f>+P5-M5</f>
        <v>650000</v>
      </c>
      <c r="AE5" s="23">
        <f t="shared" ref="AE5:AE68" si="1">O5-P5</f>
        <v>1221000</v>
      </c>
    </row>
    <row r="6" spans="1:31">
      <c r="A6" s="19">
        <v>1112000122</v>
      </c>
      <c r="B6" s="19" t="str">
        <f t="shared" ref="B6:B14" si="2">MID(A6,8,3)</f>
        <v>122</v>
      </c>
      <c r="C6" s="19" t="str">
        <f t="shared" ref="C6:C14" si="3">MID(A6,2,6)</f>
        <v>112000</v>
      </c>
      <c r="D6" s="19" t="s">
        <v>24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>
        <f t="shared" ref="Q6:Q15" si="4">P6/10*12</f>
        <v>0</v>
      </c>
      <c r="R6" s="69"/>
      <c r="S6" s="12"/>
      <c r="T6" s="22"/>
      <c r="AE6" s="23">
        <f t="shared" si="1"/>
        <v>0</v>
      </c>
    </row>
    <row r="7" spans="1:31">
      <c r="A7" s="19">
        <v>1112000123</v>
      </c>
      <c r="B7" s="19" t="str">
        <f t="shared" si="2"/>
        <v>123</v>
      </c>
      <c r="C7" s="19" t="str">
        <f t="shared" si="3"/>
        <v>112000</v>
      </c>
      <c r="D7" s="19" t="s">
        <v>26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>
        <f t="shared" si="4"/>
        <v>0</v>
      </c>
      <c r="R7" s="69"/>
      <c r="S7" s="12"/>
      <c r="T7" s="22"/>
      <c r="AE7" s="23">
        <f t="shared" si="1"/>
        <v>0</v>
      </c>
    </row>
    <row r="8" spans="1:31">
      <c r="A8" s="19">
        <v>1112000124</v>
      </c>
      <c r="B8" s="19" t="str">
        <f t="shared" si="2"/>
        <v>124</v>
      </c>
      <c r="C8" s="19" t="str">
        <f t="shared" si="3"/>
        <v>112000</v>
      </c>
      <c r="D8" s="19" t="s">
        <v>27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>
        <f t="shared" si="4"/>
        <v>0</v>
      </c>
      <c r="R8" s="69"/>
      <c r="S8" s="12"/>
      <c r="T8" s="22"/>
      <c r="AE8" s="23">
        <f t="shared" si="1"/>
        <v>0</v>
      </c>
    </row>
    <row r="9" spans="1:31">
      <c r="A9" s="19">
        <v>1112000125</v>
      </c>
      <c r="B9" s="19" t="str">
        <f t="shared" si="2"/>
        <v>125</v>
      </c>
      <c r="C9" s="19" t="str">
        <f t="shared" si="3"/>
        <v>112000</v>
      </c>
      <c r="D9" s="19" t="s">
        <v>28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>
        <f t="shared" si="4"/>
        <v>0</v>
      </c>
      <c r="R9" s="69"/>
      <c r="S9" s="12"/>
      <c r="T9" s="22"/>
      <c r="AE9" s="23">
        <f t="shared" si="1"/>
        <v>0</v>
      </c>
    </row>
    <row r="10" spans="1:31">
      <c r="A10" s="19">
        <v>1112000126</v>
      </c>
      <c r="B10" s="19" t="str">
        <f t="shared" si="2"/>
        <v>126</v>
      </c>
      <c r="C10" s="19" t="str">
        <f t="shared" si="3"/>
        <v>112000</v>
      </c>
      <c r="D10" s="19" t="s">
        <v>29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>
        <f t="shared" si="4"/>
        <v>0</v>
      </c>
      <c r="R10" s="69"/>
      <c r="S10" s="12"/>
      <c r="T10" s="22"/>
      <c r="AE10" s="23">
        <f t="shared" si="1"/>
        <v>0</v>
      </c>
    </row>
    <row r="11" spans="1:31">
      <c r="A11" s="19">
        <v>1112000127</v>
      </c>
      <c r="B11" s="19" t="str">
        <f t="shared" si="2"/>
        <v>127</v>
      </c>
      <c r="C11" s="19" t="str">
        <f t="shared" si="3"/>
        <v>112000</v>
      </c>
      <c r="D11" s="19" t="s">
        <v>30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>
        <f t="shared" si="4"/>
        <v>0</v>
      </c>
      <c r="R11" s="69"/>
      <c r="S11" s="12"/>
      <c r="T11" s="22"/>
      <c r="AE11" s="23">
        <f t="shared" si="1"/>
        <v>0</v>
      </c>
    </row>
    <row r="12" spans="1:31">
      <c r="A12" s="19">
        <v>1112000128</v>
      </c>
      <c r="B12" s="19" t="str">
        <f t="shared" si="2"/>
        <v>128</v>
      </c>
      <c r="C12" s="19" t="str">
        <f t="shared" si="3"/>
        <v>112000</v>
      </c>
      <c r="D12" s="19" t="s">
        <v>31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>
        <f t="shared" si="4"/>
        <v>0</v>
      </c>
      <c r="R12" s="69"/>
      <c r="S12" s="12"/>
      <c r="T12" s="22"/>
      <c r="AE12" s="23">
        <f t="shared" si="1"/>
        <v>0</v>
      </c>
    </row>
    <row r="13" spans="1:31">
      <c r="A13" s="19">
        <v>1112000129</v>
      </c>
      <c r="B13" s="19" t="str">
        <f t="shared" si="2"/>
        <v>129</v>
      </c>
      <c r="C13" s="19" t="str">
        <f t="shared" si="3"/>
        <v>112000</v>
      </c>
      <c r="D13" s="19" t="s">
        <v>32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>
        <f>-VLOOKUP(A:A,'[1]דוח כספי 31.10'!A:J,9,0)</f>
        <v>0</v>
      </c>
      <c r="P13" s="20"/>
      <c r="Q13" s="20">
        <f t="shared" si="4"/>
        <v>0</v>
      </c>
      <c r="R13" s="69"/>
      <c r="S13" s="12"/>
      <c r="T13" s="22"/>
      <c r="AE13" s="23">
        <f t="shared" si="1"/>
        <v>0</v>
      </c>
    </row>
    <row r="14" spans="1:31">
      <c r="A14" s="19">
        <v>1112000130</v>
      </c>
      <c r="B14" s="19" t="str">
        <f t="shared" si="2"/>
        <v>130</v>
      </c>
      <c r="C14" s="19" t="str">
        <f t="shared" si="3"/>
        <v>112000</v>
      </c>
      <c r="D14" s="19" t="s">
        <v>33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>
        <f>-VLOOKUP(A:A,'[1]דוח כספי 31.10'!A:J,9,0)</f>
        <v>0</v>
      </c>
      <c r="P14" s="20"/>
      <c r="Q14" s="20">
        <f t="shared" si="4"/>
        <v>0</v>
      </c>
      <c r="R14" s="69"/>
      <c r="S14" s="12"/>
      <c r="T14" s="22"/>
      <c r="AE14" s="23">
        <f t="shared" si="1"/>
        <v>0</v>
      </c>
    </row>
    <row r="15" spans="1:31">
      <c r="A15" s="19">
        <v>1115000100</v>
      </c>
      <c r="B15" s="19" t="str">
        <f>MID(A15,8,3)</f>
        <v>100</v>
      </c>
      <c r="C15" s="19" t="str">
        <f>MID(A15,2,6)</f>
        <v>115000</v>
      </c>
      <c r="D15" s="19" t="s">
        <v>34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>
        <f>-VLOOKUP(A:A,'[1]דוח כספי 31.10'!A:J,9,0)</f>
        <v>2556000</v>
      </c>
      <c r="P15" s="20">
        <v>2800000</v>
      </c>
      <c r="Q15" s="20">
        <f t="shared" si="4"/>
        <v>3360000</v>
      </c>
      <c r="R15" s="69"/>
      <c r="S15" s="12"/>
      <c r="T15" s="22"/>
      <c r="AE15" s="23">
        <f t="shared" si="1"/>
        <v>-244000</v>
      </c>
    </row>
    <row r="16" spans="1:31">
      <c r="A16" s="169"/>
      <c r="B16" s="170"/>
      <c r="C16" s="170"/>
      <c r="D16" s="171" t="s">
        <v>35</v>
      </c>
      <c r="E16" s="172">
        <f t="shared" ref="E16:N16" si="5">SUM(E4:E14)</f>
        <v>6820000</v>
      </c>
      <c r="F16" s="172">
        <f t="shared" si="5"/>
        <v>5594000</v>
      </c>
      <c r="G16" s="172">
        <f t="shared" si="5"/>
        <v>6474000</v>
      </c>
      <c r="H16" s="172">
        <f t="shared" si="5"/>
        <v>7100000</v>
      </c>
      <c r="I16" s="172" t="e">
        <f t="shared" si="5"/>
        <v>#REF!</v>
      </c>
      <c r="J16" s="172" t="e">
        <f t="shared" si="5"/>
        <v>#REF!</v>
      </c>
      <c r="K16" s="172">
        <f t="shared" si="5"/>
        <v>6800000</v>
      </c>
      <c r="L16" s="172">
        <f t="shared" si="5"/>
        <v>6800000</v>
      </c>
      <c r="M16" s="172">
        <f t="shared" si="5"/>
        <v>7000000</v>
      </c>
      <c r="N16" s="172">
        <f t="shared" si="5"/>
        <v>4670000</v>
      </c>
      <c r="O16" s="172">
        <f>SUM(O4:O15)</f>
        <v>9447000</v>
      </c>
      <c r="P16" s="172">
        <f t="shared" ref="P16:Q16" si="6">SUM(P4:P15)</f>
        <v>7650000</v>
      </c>
      <c r="Q16" s="172">
        <f t="shared" si="6"/>
        <v>9710000</v>
      </c>
      <c r="R16" s="173"/>
      <c r="S16" s="12">
        <f t="shared" si="0"/>
        <v>1</v>
      </c>
      <c r="T16" s="22">
        <f>+P16-M16</f>
        <v>650000</v>
      </c>
      <c r="AE16" s="23"/>
    </row>
    <row r="17" spans="1:32">
      <c r="A17" s="19">
        <v>1121000290</v>
      </c>
      <c r="B17" s="19" t="str">
        <f t="shared" ref="B17" si="7">MID(A17,8,3)</f>
        <v>290</v>
      </c>
      <c r="C17" s="19" t="str">
        <f t="shared" ref="C17" si="8">MID(A17,2,6)</f>
        <v>121000</v>
      </c>
      <c r="D17" s="19" t="s">
        <v>36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>
        <f>-VLOOKUP(A:A,'[1]דוח כספי 31.10'!A:J,9,0)</f>
        <v>3000</v>
      </c>
      <c r="P17" s="20">
        <f>-VLOOKUP(A:A,'[1]דוח כספי 31.10'!A:D,4,0)</f>
        <v>1750</v>
      </c>
      <c r="Q17" s="20">
        <v>2000</v>
      </c>
      <c r="R17" s="69"/>
      <c r="S17" s="12">
        <f t="shared" si="0"/>
        <v>0</v>
      </c>
      <c r="AE17" s="23">
        <f t="shared" si="1"/>
        <v>1250</v>
      </c>
    </row>
    <row r="18" spans="1:32">
      <c r="A18" s="169"/>
      <c r="B18" s="170"/>
      <c r="C18" s="170"/>
      <c r="D18" s="171" t="s">
        <v>672</v>
      </c>
      <c r="E18" s="172">
        <f t="shared" ref="E18:Q18" si="9">SUM(E17:E17)</f>
        <v>0</v>
      </c>
      <c r="F18" s="172">
        <f t="shared" si="9"/>
        <v>0</v>
      </c>
      <c r="G18" s="172">
        <f t="shared" si="9"/>
        <v>0</v>
      </c>
      <c r="H18" s="172">
        <f t="shared" si="9"/>
        <v>0</v>
      </c>
      <c r="I18" s="172">
        <f t="shared" si="9"/>
        <v>0</v>
      </c>
      <c r="J18" s="172">
        <f t="shared" si="9"/>
        <v>0</v>
      </c>
      <c r="K18" s="172">
        <f t="shared" si="9"/>
        <v>0</v>
      </c>
      <c r="L18" s="172">
        <f t="shared" si="9"/>
        <v>0</v>
      </c>
      <c r="M18" s="172">
        <f t="shared" si="9"/>
        <v>0</v>
      </c>
      <c r="N18" s="172">
        <f t="shared" si="9"/>
        <v>0</v>
      </c>
      <c r="O18" s="172">
        <f t="shared" si="9"/>
        <v>3000</v>
      </c>
      <c r="P18" s="172">
        <f t="shared" si="9"/>
        <v>1750</v>
      </c>
      <c r="Q18" s="172">
        <f t="shared" si="9"/>
        <v>2000</v>
      </c>
      <c r="R18" s="173"/>
      <c r="S18" s="12">
        <f t="shared" si="0"/>
        <v>1</v>
      </c>
      <c r="T18" s="22">
        <f t="shared" ref="T18:T80" si="10">+P18-M18</f>
        <v>1750</v>
      </c>
      <c r="AE18" s="23"/>
    </row>
    <row r="19" spans="1:32">
      <c r="A19" s="174"/>
      <c r="B19" s="175"/>
      <c r="C19" s="175"/>
      <c r="D19" s="176" t="s">
        <v>58</v>
      </c>
      <c r="E19" s="177">
        <f t="shared" ref="E19:Q19" si="11">E18+E16</f>
        <v>6820000</v>
      </c>
      <c r="F19" s="177">
        <f t="shared" si="11"/>
        <v>5594000</v>
      </c>
      <c r="G19" s="177">
        <f t="shared" si="11"/>
        <v>6474000</v>
      </c>
      <c r="H19" s="177">
        <f t="shared" si="11"/>
        <v>7100000</v>
      </c>
      <c r="I19" s="177" t="e">
        <f t="shared" si="11"/>
        <v>#REF!</v>
      </c>
      <c r="J19" s="177" t="e">
        <f t="shared" si="11"/>
        <v>#REF!</v>
      </c>
      <c r="K19" s="177">
        <f t="shared" si="11"/>
        <v>6800000</v>
      </c>
      <c r="L19" s="177">
        <f t="shared" si="11"/>
        <v>6800000</v>
      </c>
      <c r="M19" s="177">
        <f t="shared" si="11"/>
        <v>7000000</v>
      </c>
      <c r="N19" s="177">
        <f t="shared" si="11"/>
        <v>4670000</v>
      </c>
      <c r="O19" s="177">
        <f t="shared" si="11"/>
        <v>9450000</v>
      </c>
      <c r="P19" s="177">
        <f t="shared" si="11"/>
        <v>7651750</v>
      </c>
      <c r="Q19" s="177">
        <f t="shared" si="11"/>
        <v>9712000</v>
      </c>
      <c r="R19" s="178"/>
      <c r="S19" s="12">
        <f t="shared" si="0"/>
        <v>1</v>
      </c>
      <c r="T19" s="22">
        <f t="shared" si="10"/>
        <v>651750</v>
      </c>
      <c r="AE19" s="23"/>
    </row>
    <row r="20" spans="1:32">
      <c r="A20" s="179"/>
      <c r="B20" s="228" t="s">
        <v>59</v>
      </c>
      <c r="C20" s="228"/>
      <c r="D20" s="37"/>
      <c r="E20" s="37"/>
      <c r="F20" s="37"/>
      <c r="G20" s="37"/>
      <c r="H20" s="38"/>
      <c r="I20" s="20"/>
      <c r="J20" s="20"/>
      <c r="K20" s="20"/>
      <c r="L20" s="20"/>
      <c r="M20" s="20"/>
      <c r="N20" s="20"/>
      <c r="O20" s="20">
        <f t="shared" ref="O20" si="12">+N20*1.5</f>
        <v>0</v>
      </c>
      <c r="P20" s="20"/>
      <c r="Q20" s="20">
        <f t="shared" ref="Q20:Q21" si="13">P20/10*12</f>
        <v>0</v>
      </c>
      <c r="R20" s="69"/>
      <c r="S20" s="12">
        <f t="shared" si="0"/>
        <v>1</v>
      </c>
      <c r="T20" s="22">
        <f t="shared" si="10"/>
        <v>0</v>
      </c>
      <c r="AE20" s="23">
        <f t="shared" si="1"/>
        <v>0</v>
      </c>
    </row>
    <row r="21" spans="1:32">
      <c r="A21" s="19">
        <v>1190000910</v>
      </c>
      <c r="B21" s="19" t="str">
        <f>MID(A21,8,3)</f>
        <v>910</v>
      </c>
      <c r="C21" s="19" t="str">
        <f>MID(A21,2,6)</f>
        <v>190000</v>
      </c>
      <c r="D21" s="19" t="s">
        <v>59</v>
      </c>
      <c r="E21" s="20">
        <v>9964550</v>
      </c>
      <c r="F21" s="20">
        <v>8240000</v>
      </c>
      <c r="G21" s="20">
        <v>10038710</v>
      </c>
      <c r="H21" s="20">
        <f>G21</f>
        <v>10038710</v>
      </c>
      <c r="I21" s="20">
        <f>10241423*0.583333333333333</f>
        <v>5974163.4166666633</v>
      </c>
      <c r="J21" s="20">
        <f>+I21*1.71428571428571</f>
        <v>10241422.999999968</v>
      </c>
      <c r="K21" s="20">
        <v>10241423</v>
      </c>
      <c r="L21" s="20">
        <v>10241000</v>
      </c>
      <c r="M21" s="20">
        <v>10241000</v>
      </c>
      <c r="N21" s="20">
        <v>6829000</v>
      </c>
      <c r="O21" s="20">
        <f>-VLOOKUP(A:A,'[1]דוח כספי 31.10'!A:J,9,0)</f>
        <v>9992000</v>
      </c>
      <c r="P21" s="20">
        <v>10780000</v>
      </c>
      <c r="Q21" s="20">
        <f t="shared" si="13"/>
        <v>12936000</v>
      </c>
      <c r="R21" s="69"/>
      <c r="S21" s="12">
        <f t="shared" si="0"/>
        <v>1</v>
      </c>
      <c r="T21" s="22">
        <f t="shared" si="10"/>
        <v>539000</v>
      </c>
      <c r="AE21" s="23">
        <f t="shared" si="1"/>
        <v>-788000</v>
      </c>
    </row>
    <row r="22" spans="1:32">
      <c r="A22" s="174"/>
      <c r="B22" s="175"/>
      <c r="C22" s="175"/>
      <c r="D22" s="176" t="s">
        <v>60</v>
      </c>
      <c r="E22" s="177">
        <f>SUM(E21)</f>
        <v>9964550</v>
      </c>
      <c r="F22" s="177">
        <f>SUM(F21)</f>
        <v>8240000</v>
      </c>
      <c r="G22" s="177">
        <f>SUM(G21)</f>
        <v>10038710</v>
      </c>
      <c r="H22" s="177">
        <f>SUM(H21)</f>
        <v>10038710</v>
      </c>
      <c r="I22" s="177">
        <f>SUM(I21)</f>
        <v>5974163.4166666633</v>
      </c>
      <c r="J22" s="177">
        <f t="shared" ref="J22:Q22" si="14">SUM(J21)</f>
        <v>10241422.999999968</v>
      </c>
      <c r="K22" s="177">
        <f t="shared" si="14"/>
        <v>10241423</v>
      </c>
      <c r="L22" s="177">
        <f t="shared" si="14"/>
        <v>10241000</v>
      </c>
      <c r="M22" s="177">
        <f t="shared" si="14"/>
        <v>10241000</v>
      </c>
      <c r="N22" s="177">
        <f t="shared" si="14"/>
        <v>6829000</v>
      </c>
      <c r="O22" s="177">
        <f t="shared" si="14"/>
        <v>9992000</v>
      </c>
      <c r="P22" s="177">
        <f t="shared" si="14"/>
        <v>10780000</v>
      </c>
      <c r="Q22" s="177">
        <f t="shared" si="14"/>
        <v>12936000</v>
      </c>
      <c r="R22" s="178"/>
      <c r="S22" s="12">
        <f t="shared" si="0"/>
        <v>1</v>
      </c>
      <c r="T22" s="22">
        <f t="shared" si="10"/>
        <v>539000</v>
      </c>
      <c r="AE22" s="23"/>
    </row>
    <row r="23" spans="1:32">
      <c r="A23" s="179"/>
      <c r="B23" s="228" t="s">
        <v>61</v>
      </c>
      <c r="C23" s="228"/>
      <c r="D23" s="37"/>
      <c r="E23" s="37"/>
      <c r="F23" s="37"/>
      <c r="G23" s="37"/>
      <c r="H23" s="38"/>
      <c r="I23" s="20"/>
      <c r="J23" s="20"/>
      <c r="K23" s="20"/>
      <c r="L23" s="20"/>
      <c r="M23" s="20"/>
      <c r="N23" s="20"/>
      <c r="O23" s="20"/>
      <c r="P23" s="20"/>
      <c r="Q23" s="20">
        <f t="shared" ref="Q23:Q25" si="15">P23/10*12</f>
        <v>0</v>
      </c>
      <c r="R23" s="69"/>
      <c r="S23" s="12">
        <f t="shared" si="0"/>
        <v>1</v>
      </c>
      <c r="T23" s="22">
        <f t="shared" si="10"/>
        <v>0</v>
      </c>
      <c r="AE23" s="23">
        <f t="shared" si="1"/>
        <v>0</v>
      </c>
    </row>
    <row r="24" spans="1:32">
      <c r="A24" s="19">
        <v>1196000910</v>
      </c>
      <c r="B24" s="19" t="str">
        <f>MID(A24,8,3)</f>
        <v>910</v>
      </c>
      <c r="C24" s="19" t="str">
        <f>MID(A24,2,6)</f>
        <v>196000</v>
      </c>
      <c r="D24" s="19" t="s">
        <v>65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>
        <f>-VLOOKUP(A:A,'[1]דוח כספי 31.10'!A:J,9,0)</f>
        <v>1689000</v>
      </c>
      <c r="P24" s="20">
        <f>-VLOOKUP(A:A,'[1]דוח כספי 31.10'!A:D,4,0)</f>
        <v>1689270.2</v>
      </c>
      <c r="Q24" s="20">
        <v>1689000</v>
      </c>
      <c r="R24" s="69"/>
      <c r="S24" s="12"/>
      <c r="T24" s="22"/>
      <c r="AE24" s="23">
        <f t="shared" si="1"/>
        <v>-270.19999999995343</v>
      </c>
    </row>
    <row r="25" spans="1:32">
      <c r="A25" s="19">
        <v>1191000910</v>
      </c>
      <c r="B25" s="19" t="str">
        <f>MID(A25,8,3)</f>
        <v>910</v>
      </c>
      <c r="C25" s="19" t="str">
        <f>MID(A25,2,6)</f>
        <v>191000</v>
      </c>
      <c r="D25" s="19" t="s">
        <v>63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>
        <f>-VLOOKUP(A:A,'[1]דוח כספי 31.10'!A:J,9,0)</f>
        <v>298000</v>
      </c>
      <c r="P25" s="20">
        <f>-VLOOKUP(A:A,'[1]דוח כספי 31.10'!A:D,4,0)</f>
        <v>0</v>
      </c>
      <c r="Q25" s="20">
        <f t="shared" si="15"/>
        <v>0</v>
      </c>
      <c r="R25" s="69"/>
      <c r="S25" s="12"/>
      <c r="T25" s="22"/>
      <c r="AE25" s="23">
        <f t="shared" si="1"/>
        <v>298000</v>
      </c>
    </row>
    <row r="26" spans="1:32">
      <c r="A26" s="19">
        <v>1190000920</v>
      </c>
      <c r="B26" s="19" t="str">
        <f>MID(A26,8,3)</f>
        <v>920</v>
      </c>
      <c r="C26" s="19" t="str">
        <f>MID(A26,2,6)</f>
        <v>190000</v>
      </c>
      <c r="D26" s="19" t="s">
        <v>62</v>
      </c>
      <c r="E26" s="20"/>
      <c r="F26" s="20">
        <v>161696</v>
      </c>
      <c r="G26" s="20">
        <v>161696</v>
      </c>
      <c r="H26" s="20"/>
      <c r="I26" s="20">
        <f>2349000*0.583333333333333</f>
        <v>1370249.9999999993</v>
      </c>
      <c r="J26" s="20">
        <v>2349000</v>
      </c>
      <c r="K26" s="20">
        <v>2349000</v>
      </c>
      <c r="L26" s="20">
        <v>2249000</v>
      </c>
      <c r="M26" s="20">
        <v>2249000</v>
      </c>
      <c r="N26" s="20">
        <v>1499333</v>
      </c>
      <c r="O26" s="20">
        <f>-VLOOKUP(A:A,'[1]דוח כספי 31.10'!A:J,9,0)</f>
        <v>0</v>
      </c>
      <c r="P26" s="20">
        <f>-VLOOKUP(A:A,'[1]דוח כספי 31.10'!A:D,4,0)</f>
        <v>226425</v>
      </c>
      <c r="Q26" s="20">
        <v>250000</v>
      </c>
      <c r="R26" s="69"/>
      <c r="S26" s="12">
        <f t="shared" si="0"/>
        <v>1</v>
      </c>
      <c r="T26" s="22">
        <f t="shared" si="10"/>
        <v>-2022575</v>
      </c>
      <c r="AE26" s="23">
        <f t="shared" si="1"/>
        <v>-226425</v>
      </c>
    </row>
    <row r="27" spans="1:32">
      <c r="A27" s="174"/>
      <c r="B27" s="175"/>
      <c r="C27" s="175"/>
      <c r="D27" s="176" t="s">
        <v>61</v>
      </c>
      <c r="E27" s="177">
        <f>SUM(E26)</f>
        <v>0</v>
      </c>
      <c r="F27" s="177">
        <f>SUM(F26)</f>
        <v>161696</v>
      </c>
      <c r="G27" s="177">
        <f>SUM(G26)</f>
        <v>161696</v>
      </c>
      <c r="H27" s="177">
        <f>SUM(H26)</f>
        <v>0</v>
      </c>
      <c r="I27" s="177">
        <f>SUM(I26)</f>
        <v>1370249.9999999993</v>
      </c>
      <c r="J27" s="177">
        <f t="shared" ref="J27:N27" si="16">SUM(J26)</f>
        <v>2349000</v>
      </c>
      <c r="K27" s="177">
        <f t="shared" si="16"/>
        <v>2349000</v>
      </c>
      <c r="L27" s="177">
        <f t="shared" si="16"/>
        <v>2249000</v>
      </c>
      <c r="M27" s="177">
        <f t="shared" si="16"/>
        <v>2249000</v>
      </c>
      <c r="N27" s="177">
        <f t="shared" si="16"/>
        <v>1499333</v>
      </c>
      <c r="O27" s="177">
        <f>SUM(O24:O26)</f>
        <v>1987000</v>
      </c>
      <c r="P27" s="177">
        <f t="shared" ref="P27:Q27" si="17">SUM(P24:P26)</f>
        <v>1915695.2</v>
      </c>
      <c r="Q27" s="177">
        <f t="shared" si="17"/>
        <v>1939000</v>
      </c>
      <c r="R27" s="178"/>
      <c r="S27" s="12">
        <f t="shared" si="0"/>
        <v>1</v>
      </c>
      <c r="T27" s="22">
        <f t="shared" si="10"/>
        <v>-333304.80000000005</v>
      </c>
      <c r="AE27" s="23"/>
      <c r="AF27" s="1">
        <v>0</v>
      </c>
    </row>
    <row r="28" spans="1:32">
      <c r="A28" s="174"/>
      <c r="B28" s="175"/>
      <c r="C28" s="175"/>
      <c r="D28" s="176" t="s">
        <v>673</v>
      </c>
      <c r="E28" s="177">
        <f t="shared" ref="E28:N28" si="18">+E27+E22+E19</f>
        <v>16784550</v>
      </c>
      <c r="F28" s="177">
        <f t="shared" si="18"/>
        <v>13995696</v>
      </c>
      <c r="G28" s="177">
        <f t="shared" si="18"/>
        <v>16674406</v>
      </c>
      <c r="H28" s="177">
        <f t="shared" si="18"/>
        <v>17138710</v>
      </c>
      <c r="I28" s="177" t="e">
        <f t="shared" si="18"/>
        <v>#REF!</v>
      </c>
      <c r="J28" s="177" t="e">
        <f t="shared" si="18"/>
        <v>#REF!</v>
      </c>
      <c r="K28" s="177">
        <f t="shared" si="18"/>
        <v>19390423</v>
      </c>
      <c r="L28" s="177">
        <f t="shared" si="18"/>
        <v>19290000</v>
      </c>
      <c r="M28" s="177">
        <f t="shared" si="18"/>
        <v>19490000</v>
      </c>
      <c r="N28" s="177">
        <f t="shared" si="18"/>
        <v>12998333</v>
      </c>
      <c r="O28" s="177">
        <f>+O27+O22+O19</f>
        <v>21429000</v>
      </c>
      <c r="P28" s="177">
        <f t="shared" ref="P28:Q28" si="19">+P27+P22+P19</f>
        <v>20347445.199999999</v>
      </c>
      <c r="Q28" s="177">
        <f t="shared" si="19"/>
        <v>24587000</v>
      </c>
      <c r="R28" s="178"/>
      <c r="S28" s="12">
        <f t="shared" si="0"/>
        <v>1</v>
      </c>
      <c r="T28" s="22">
        <f t="shared" si="10"/>
        <v>857445.19999999925</v>
      </c>
      <c r="AE28" s="23"/>
      <c r="AF28" s="1">
        <v>0</v>
      </c>
    </row>
    <row r="29" spans="1:32">
      <c r="A29" s="179"/>
      <c r="B29" s="37" t="s">
        <v>68</v>
      </c>
      <c r="C29" s="37"/>
      <c r="D29" s="37"/>
      <c r="E29" s="37"/>
      <c r="F29" s="37"/>
      <c r="G29" s="37"/>
      <c r="H29" s="38"/>
      <c r="I29" s="20"/>
      <c r="J29" s="20"/>
      <c r="K29" s="20"/>
      <c r="L29" s="20"/>
      <c r="M29" s="20"/>
      <c r="N29" s="20"/>
      <c r="O29" s="20"/>
      <c r="P29" s="20"/>
      <c r="Q29" s="20">
        <f t="shared" ref="Q29:Q56" si="20">P29/10*12</f>
        <v>0</v>
      </c>
      <c r="R29" s="69"/>
      <c r="S29" s="12">
        <f t="shared" si="0"/>
        <v>1</v>
      </c>
      <c r="T29" s="22">
        <f t="shared" si="10"/>
        <v>0</v>
      </c>
      <c r="AE29" s="23">
        <f t="shared" si="1"/>
        <v>0</v>
      </c>
      <c r="AF29" s="1">
        <v>0</v>
      </c>
    </row>
    <row r="30" spans="1:32">
      <c r="A30" s="19">
        <v>1125000290</v>
      </c>
      <c r="B30" s="19" t="str">
        <f t="shared" ref="B30:B56" si="21">MID(A30,8,3)</f>
        <v>290</v>
      </c>
      <c r="C30" s="19" t="str">
        <f t="shared" ref="C30:C56" si="22">MID(A30,2,6)</f>
        <v>125000</v>
      </c>
      <c r="D30" s="19" t="s">
        <v>37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>
        <f>-VLOOKUP(A:A,'[1]דוח כספי 31.10'!A:J,9,0)</f>
        <v>108000</v>
      </c>
      <c r="P30" s="20">
        <v>65000</v>
      </c>
      <c r="Q30" s="20">
        <v>71000</v>
      </c>
      <c r="R30" s="69"/>
      <c r="S30" s="12"/>
      <c r="T30" s="22"/>
      <c r="AE30" s="23">
        <f t="shared" si="1"/>
        <v>43000</v>
      </c>
    </row>
    <row r="31" spans="1:32">
      <c r="A31" s="19">
        <v>1129000290</v>
      </c>
      <c r="B31" s="19" t="str">
        <f t="shared" si="21"/>
        <v>290</v>
      </c>
      <c r="C31" s="19" t="str">
        <f t="shared" si="22"/>
        <v>129000</v>
      </c>
      <c r="D31" s="19" t="s">
        <v>38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>
        <f>-VLOOKUP(A:A,'[1]דוח כספי 31.10'!A:J,9,0)</f>
        <v>284000</v>
      </c>
      <c r="P31" s="20">
        <v>150000</v>
      </c>
      <c r="Q31" s="20">
        <f t="shared" si="20"/>
        <v>180000</v>
      </c>
      <c r="R31" s="69"/>
      <c r="S31" s="12"/>
      <c r="T31" s="22"/>
      <c r="AE31" s="23">
        <f t="shared" si="1"/>
        <v>134000</v>
      </c>
      <c r="AF31" s="1">
        <v>0</v>
      </c>
    </row>
    <row r="32" spans="1:32">
      <c r="A32" s="19">
        <v>1129200290</v>
      </c>
      <c r="B32" s="19" t="str">
        <f t="shared" si="21"/>
        <v>290</v>
      </c>
      <c r="C32" s="19" t="str">
        <f t="shared" si="22"/>
        <v>129200</v>
      </c>
      <c r="D32" s="19" t="s">
        <v>39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>
        <f>-VLOOKUP(A:A,'[1]דוח כספי 31.10'!A:J,9,0)</f>
        <v>301000</v>
      </c>
      <c r="P32" s="20">
        <v>175000</v>
      </c>
      <c r="Q32" s="20">
        <f t="shared" si="20"/>
        <v>210000</v>
      </c>
      <c r="R32" s="69"/>
      <c r="S32" s="12"/>
      <c r="T32" s="22"/>
      <c r="AE32" s="23">
        <f t="shared" si="1"/>
        <v>126000</v>
      </c>
      <c r="AF32" s="1">
        <v>0</v>
      </c>
    </row>
    <row r="33" spans="1:32">
      <c r="A33" s="19">
        <v>1129210290</v>
      </c>
      <c r="B33" s="19" t="str">
        <f t="shared" si="21"/>
        <v>290</v>
      </c>
      <c r="C33" s="19" t="str">
        <f t="shared" si="22"/>
        <v>129210</v>
      </c>
      <c r="D33" s="19" t="s">
        <v>674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>
        <f>-VLOOKUP(A:A,'[1]דוח כספי 31.10'!A:J,9,0)</f>
        <v>1000</v>
      </c>
      <c r="P33" s="20">
        <v>1000</v>
      </c>
      <c r="Q33" s="20">
        <v>1000</v>
      </c>
      <c r="R33" s="69"/>
      <c r="S33" s="12"/>
      <c r="T33" s="22"/>
      <c r="AE33" s="23">
        <f t="shared" si="1"/>
        <v>0</v>
      </c>
    </row>
    <row r="34" spans="1:32">
      <c r="A34" s="19">
        <v>1129300290</v>
      </c>
      <c r="B34" s="19" t="str">
        <f t="shared" si="21"/>
        <v>290</v>
      </c>
      <c r="C34" s="19" t="str">
        <f t="shared" si="22"/>
        <v>129300</v>
      </c>
      <c r="D34" s="19" t="s">
        <v>40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>
        <f>-VLOOKUP(A:A,'[1]דוח כספי 31.10'!A:J,9,0)</f>
        <v>68000</v>
      </c>
      <c r="P34" s="20">
        <v>100000</v>
      </c>
      <c r="Q34" s="20">
        <f t="shared" si="20"/>
        <v>120000</v>
      </c>
      <c r="R34" s="69"/>
      <c r="S34" s="12"/>
      <c r="T34" s="22"/>
      <c r="AE34" s="23">
        <f t="shared" si="1"/>
        <v>-32000</v>
      </c>
      <c r="AF34" s="1">
        <v>0</v>
      </c>
    </row>
    <row r="35" spans="1:32">
      <c r="A35" s="19">
        <v>1129400290</v>
      </c>
      <c r="B35" s="19" t="str">
        <f t="shared" si="21"/>
        <v>290</v>
      </c>
      <c r="C35" s="19" t="str">
        <f t="shared" si="22"/>
        <v>129400</v>
      </c>
      <c r="D35" s="19" t="s">
        <v>41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f>-VLOOKUP(A:A,'[1]דוח כספי 31.10'!A:J,9,0)</f>
        <v>32000</v>
      </c>
      <c r="P35" s="20">
        <v>85000</v>
      </c>
      <c r="Q35" s="20">
        <f t="shared" si="20"/>
        <v>102000</v>
      </c>
      <c r="R35" s="69"/>
      <c r="S35" s="12"/>
      <c r="T35" s="22"/>
      <c r="AE35" s="23">
        <f t="shared" si="1"/>
        <v>-53000</v>
      </c>
    </row>
    <row r="36" spans="1:32">
      <c r="A36" s="19">
        <v>1129500290</v>
      </c>
      <c r="B36" s="19" t="str">
        <f t="shared" si="21"/>
        <v>290</v>
      </c>
      <c r="C36" s="19" t="str">
        <f t="shared" si="22"/>
        <v>129500</v>
      </c>
      <c r="D36" s="19" t="s">
        <v>42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>
        <f>-VLOOKUP(A:A,'[1]דוח כספי 31.10'!A:J,9,0)</f>
        <v>16000</v>
      </c>
      <c r="P36" s="20">
        <v>15000</v>
      </c>
      <c r="Q36" s="20">
        <f t="shared" si="20"/>
        <v>18000</v>
      </c>
      <c r="R36" s="69"/>
      <c r="S36" s="12"/>
      <c r="T36" s="22"/>
      <c r="AE36" s="23">
        <f t="shared" si="1"/>
        <v>1000</v>
      </c>
    </row>
    <row r="37" spans="1:32">
      <c r="A37" s="19">
        <v>1129600290</v>
      </c>
      <c r="B37" s="19" t="str">
        <f t="shared" si="21"/>
        <v>290</v>
      </c>
      <c r="C37" s="19" t="str">
        <f t="shared" si="22"/>
        <v>129600</v>
      </c>
      <c r="D37" s="19" t="s">
        <v>43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>
        <f>-VLOOKUP(A:A,'[1]דוח כספי 31.10'!A:J,9,0)</f>
        <v>155000</v>
      </c>
      <c r="P37" s="20">
        <v>145000</v>
      </c>
      <c r="Q37" s="20">
        <f t="shared" si="20"/>
        <v>174000</v>
      </c>
      <c r="R37" s="69"/>
      <c r="S37" s="12"/>
      <c r="T37" s="22"/>
      <c r="AE37" s="23">
        <f t="shared" si="1"/>
        <v>10000</v>
      </c>
      <c r="AF37" s="1">
        <v>0</v>
      </c>
    </row>
    <row r="38" spans="1:32">
      <c r="A38" s="19">
        <v>1129610290</v>
      </c>
      <c r="B38" s="19" t="str">
        <f t="shared" si="21"/>
        <v>290</v>
      </c>
      <c r="C38" s="19" t="str">
        <f t="shared" si="22"/>
        <v>129610</v>
      </c>
      <c r="D38" s="19" t="s">
        <v>44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>
        <f>-VLOOKUP(A:A,'[1]דוח כספי 31.10'!A:J,9,0)</f>
        <v>0</v>
      </c>
      <c r="P38" s="20">
        <v>112000</v>
      </c>
      <c r="Q38" s="20">
        <v>112000</v>
      </c>
      <c r="R38" s="69"/>
      <c r="S38" s="12"/>
      <c r="T38" s="22"/>
      <c r="AE38" s="23">
        <f t="shared" si="1"/>
        <v>-112000</v>
      </c>
      <c r="AF38" s="1">
        <v>0</v>
      </c>
    </row>
    <row r="39" spans="1:32">
      <c r="A39" s="19">
        <v>1129700290</v>
      </c>
      <c r="B39" s="19" t="str">
        <f t="shared" si="21"/>
        <v>290</v>
      </c>
      <c r="C39" s="19" t="str">
        <f t="shared" si="22"/>
        <v>129700</v>
      </c>
      <c r="D39" s="19" t="s">
        <v>48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>
        <f>-VLOOKUP(A:A,'[1]דוח כספי 31.10'!A:J,9,0)</f>
        <v>136000</v>
      </c>
      <c r="P39" s="20">
        <v>100000</v>
      </c>
      <c r="Q39" s="20">
        <f t="shared" si="20"/>
        <v>120000</v>
      </c>
      <c r="R39" s="69"/>
      <c r="S39" s="12"/>
      <c r="T39" s="22"/>
      <c r="AE39" s="23">
        <f t="shared" si="1"/>
        <v>36000</v>
      </c>
      <c r="AF39" s="1">
        <v>0</v>
      </c>
    </row>
    <row r="40" spans="1:32">
      <c r="A40" s="19">
        <v>1129800290</v>
      </c>
      <c r="B40" s="19" t="str">
        <f t="shared" si="21"/>
        <v>290</v>
      </c>
      <c r="C40" s="19" t="str">
        <f t="shared" si="22"/>
        <v>129800</v>
      </c>
      <c r="D40" s="19" t="s">
        <v>50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>
        <f>-VLOOKUP(A:A,'[1]דוח כספי 31.10'!A:J,9,0)</f>
        <v>0</v>
      </c>
      <c r="P40" s="20">
        <f>-VLOOKUP(A:A,'[1]דוח כספי 31.10'!A:D,4,0)</f>
        <v>7360</v>
      </c>
      <c r="Q40" s="20"/>
      <c r="R40" s="69"/>
      <c r="S40" s="12"/>
      <c r="T40" s="22"/>
      <c r="AE40" s="23">
        <f t="shared" si="1"/>
        <v>-7360</v>
      </c>
    </row>
    <row r="41" spans="1:32">
      <c r="A41" s="19">
        <v>1129900290</v>
      </c>
      <c r="B41" s="19" t="str">
        <f t="shared" si="21"/>
        <v>290</v>
      </c>
      <c r="C41" s="19" t="str">
        <f t="shared" si="22"/>
        <v>129900</v>
      </c>
      <c r="D41" s="19" t="s">
        <v>51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>
        <f>-VLOOKUP(A:A,'[1]דוח כספי 31.10'!A:J,9,0)</f>
        <v>0</v>
      </c>
      <c r="P41" s="20">
        <f>-VLOOKUP(A:A,'[1]דוח כספי 31.10'!A:D,4,0)</f>
        <v>0</v>
      </c>
      <c r="Q41" s="20">
        <f t="shared" si="20"/>
        <v>0</v>
      </c>
      <c r="R41" s="69"/>
      <c r="S41" s="12"/>
      <c r="T41" s="22"/>
      <c r="AE41" s="23">
        <f t="shared" si="1"/>
        <v>0</v>
      </c>
    </row>
    <row r="42" spans="1:32">
      <c r="A42" s="19">
        <v>1131690290</v>
      </c>
      <c r="B42" s="19" t="str">
        <f t="shared" si="21"/>
        <v>290</v>
      </c>
      <c r="C42" s="19" t="str">
        <f t="shared" si="22"/>
        <v>131690</v>
      </c>
      <c r="D42" s="19" t="s">
        <v>53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>
        <f>-VLOOKUP(A:A,'[1]דוח כספי 31.10'!A:J,9,0)</f>
        <v>0</v>
      </c>
      <c r="P42" s="20">
        <f>-VLOOKUP(A:A,'[1]דוח כספי 31.10'!A:D,4,0)</f>
        <v>0</v>
      </c>
      <c r="Q42" s="20">
        <f t="shared" si="20"/>
        <v>0</v>
      </c>
      <c r="R42" s="69"/>
      <c r="S42" s="12"/>
      <c r="T42" s="22"/>
      <c r="AE42" s="23">
        <f t="shared" si="1"/>
        <v>0</v>
      </c>
    </row>
    <row r="43" spans="1:32">
      <c r="A43" s="19">
        <v>1157000690</v>
      </c>
      <c r="B43" s="19" t="str">
        <f t="shared" si="21"/>
        <v>690</v>
      </c>
      <c r="C43" s="19" t="str">
        <f t="shared" si="22"/>
        <v>157000</v>
      </c>
      <c r="D43" s="19" t="s">
        <v>54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>
        <f>-VLOOKUP(A:A,'[1]דוח כספי 31.10'!A:J,9,0)</f>
        <v>15000</v>
      </c>
      <c r="P43" s="20">
        <f>-VLOOKUP(A:A,'[1]דוח כספי 31.10'!A:D,4,0)</f>
        <v>30959</v>
      </c>
      <c r="Q43" s="20">
        <v>35000</v>
      </c>
      <c r="R43" s="69"/>
      <c r="S43" s="12"/>
      <c r="T43" s="22"/>
      <c r="AE43" s="23">
        <f t="shared" si="1"/>
        <v>-15959</v>
      </c>
    </row>
    <row r="44" spans="1:32">
      <c r="A44" s="19">
        <v>1157000740</v>
      </c>
      <c r="B44" s="19" t="str">
        <f t="shared" si="21"/>
        <v>740</v>
      </c>
      <c r="C44" s="19" t="str">
        <f t="shared" si="22"/>
        <v>157000</v>
      </c>
      <c r="D44" s="19" t="s">
        <v>55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>
        <f>-VLOOKUP(A:A,'[1]דוח כספי 31.10'!A:J,9,0)</f>
        <v>0</v>
      </c>
      <c r="P44" s="20">
        <f>-VLOOKUP(A:A,'[1]דוח כספי 31.10'!A:D,4,0)</f>
        <v>0</v>
      </c>
      <c r="Q44" s="20">
        <f t="shared" si="20"/>
        <v>0</v>
      </c>
      <c r="R44" s="69"/>
      <c r="S44" s="12"/>
      <c r="T44" s="22"/>
      <c r="AE44" s="23">
        <f t="shared" si="1"/>
        <v>0</v>
      </c>
    </row>
    <row r="45" spans="1:32">
      <c r="A45" s="19">
        <v>1160000290</v>
      </c>
      <c r="B45" s="19" t="str">
        <f t="shared" si="21"/>
        <v>290</v>
      </c>
      <c r="C45" s="19" t="str">
        <f t="shared" si="22"/>
        <v>160000</v>
      </c>
      <c r="D45" s="19" t="s">
        <v>56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>
        <f>-VLOOKUP(A:A,'[1]דוח כספי 31.10'!A:J,9,0)</f>
        <v>0</v>
      </c>
      <c r="P45" s="20">
        <f>-VLOOKUP(A:A,'[1]דוח כספי 31.10'!A:D,4,0)</f>
        <v>0.48</v>
      </c>
      <c r="Q45" s="20"/>
      <c r="R45" s="69"/>
      <c r="S45" s="12"/>
      <c r="T45" s="22"/>
      <c r="AE45" s="23">
        <f t="shared" si="1"/>
        <v>-0.48</v>
      </c>
    </row>
    <row r="46" spans="1:32">
      <c r="A46" s="19">
        <v>1197000910</v>
      </c>
      <c r="B46" s="19" t="str">
        <f t="shared" si="21"/>
        <v>910</v>
      </c>
      <c r="C46" s="19" t="str">
        <f t="shared" si="22"/>
        <v>197000</v>
      </c>
      <c r="D46" s="19" t="s">
        <v>66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>
        <f>-VLOOKUP(A:A,'[1]דוח כספי 31.10'!A:J,9,0)</f>
        <v>0</v>
      </c>
      <c r="P46" s="20">
        <f>-VLOOKUP(A:A,'[1]דוח כספי 31.10'!A:D,4,0)</f>
        <v>0</v>
      </c>
      <c r="Q46" s="20">
        <f t="shared" si="20"/>
        <v>0</v>
      </c>
      <c r="R46" s="69"/>
      <c r="S46" s="12"/>
      <c r="T46" s="22"/>
      <c r="AE46" s="23">
        <f t="shared" si="1"/>
        <v>0</v>
      </c>
    </row>
    <row r="47" spans="1:32">
      <c r="A47" s="19">
        <v>1212300620</v>
      </c>
      <c r="B47" s="19" t="str">
        <f t="shared" si="21"/>
        <v>620</v>
      </c>
      <c r="C47" s="19" t="str">
        <f t="shared" si="22"/>
        <v>212300</v>
      </c>
      <c r="D47" s="19" t="s">
        <v>69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>
        <f>-VLOOKUP(A:A,'[1]דוח כספי 31.10'!A:J,9,0)</f>
        <v>0</v>
      </c>
      <c r="P47" s="20">
        <f>-VLOOKUP(A:A,'[1]דוח כספי 31.10'!A:D,4,0)</f>
        <v>1200</v>
      </c>
      <c r="Q47" s="20">
        <v>2000</v>
      </c>
      <c r="R47" s="69"/>
      <c r="S47" s="12"/>
      <c r="T47" s="22"/>
      <c r="AE47" s="23">
        <f t="shared" si="1"/>
        <v>-1200</v>
      </c>
    </row>
    <row r="48" spans="1:32">
      <c r="A48" s="19">
        <v>1213200920</v>
      </c>
      <c r="B48" s="19" t="str">
        <f t="shared" si="21"/>
        <v>920</v>
      </c>
      <c r="C48" s="19" t="str">
        <f t="shared" si="22"/>
        <v>213200</v>
      </c>
      <c r="D48" s="19" t="s">
        <v>72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>
        <f>-VLOOKUP(A:A,'[1]דוח כספי 31.10'!A:J,9,0)</f>
        <v>0</v>
      </c>
      <c r="P48" s="20">
        <v>10</v>
      </c>
      <c r="Q48" s="20"/>
      <c r="R48" s="69"/>
      <c r="S48" s="12"/>
      <c r="T48" s="22"/>
      <c r="AE48" s="23">
        <f t="shared" si="1"/>
        <v>-10</v>
      </c>
    </row>
    <row r="49" spans="1:32">
      <c r="A49" s="19">
        <v>1216900290</v>
      </c>
      <c r="B49" s="19" t="str">
        <f t="shared" si="21"/>
        <v>290</v>
      </c>
      <c r="C49" s="19" t="str">
        <f t="shared" si="22"/>
        <v>216900</v>
      </c>
      <c r="D49" s="19" t="s">
        <v>53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>
        <f>-VLOOKUP(A:A,'[1]דוח כספי 31.10'!A:J,9,0)</f>
        <v>500000</v>
      </c>
      <c r="P49" s="20">
        <v>400000</v>
      </c>
      <c r="Q49" s="20">
        <v>200000</v>
      </c>
      <c r="R49" s="69"/>
      <c r="S49" s="12"/>
      <c r="T49" s="22"/>
      <c r="AE49" s="23">
        <f t="shared" si="1"/>
        <v>100000</v>
      </c>
    </row>
    <row r="50" spans="1:32">
      <c r="A50" s="19">
        <v>1221000900</v>
      </c>
      <c r="B50" s="19" t="str">
        <f t="shared" si="21"/>
        <v>900</v>
      </c>
      <c r="C50" s="19" t="str">
        <f t="shared" si="22"/>
        <v>221000</v>
      </c>
      <c r="D50" s="19" t="s">
        <v>74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>
        <f>-VLOOKUP(A:A,'[1]דוח כספי 31.10'!A:J,9,0)</f>
        <v>0</v>
      </c>
      <c r="P50" s="20">
        <f>-VLOOKUP(A:A,'[1]דוח כספי 31.10'!A:D,4,0)</f>
        <v>0</v>
      </c>
      <c r="Q50" s="20">
        <f t="shared" si="20"/>
        <v>0</v>
      </c>
      <c r="R50" s="69"/>
      <c r="S50" s="12"/>
      <c r="T50" s="22"/>
      <c r="AE50" s="23">
        <f t="shared" si="1"/>
        <v>0</v>
      </c>
    </row>
    <row r="51" spans="1:32">
      <c r="A51" s="19">
        <v>1221001900</v>
      </c>
      <c r="B51" s="19" t="str">
        <f t="shared" si="21"/>
        <v>900</v>
      </c>
      <c r="C51" s="19" t="str">
        <f t="shared" si="22"/>
        <v>221001</v>
      </c>
      <c r="D51" s="19" t="s">
        <v>76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>
        <f>-VLOOKUP(A:A,'[1]דוח כספי 31.10'!A:J,9,0)</f>
        <v>237000</v>
      </c>
      <c r="P51" s="20">
        <f>-VLOOKUP(A:A,'[1]דוח כספי 31.10'!A:D,4,0)</f>
        <v>324397</v>
      </c>
      <c r="Q51" s="20">
        <v>380000</v>
      </c>
      <c r="R51" s="69"/>
      <c r="S51" s="12"/>
      <c r="T51" s="22"/>
      <c r="AE51" s="23">
        <f t="shared" si="1"/>
        <v>-87397</v>
      </c>
    </row>
    <row r="52" spans="1:32">
      <c r="A52" s="19">
        <v>1242210290</v>
      </c>
      <c r="B52" s="19" t="str">
        <f t="shared" si="21"/>
        <v>290</v>
      </c>
      <c r="C52" s="19" t="str">
        <f t="shared" si="22"/>
        <v>242210</v>
      </c>
      <c r="D52" s="19" t="s">
        <v>77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>
        <f>-VLOOKUP(A:A,'[1]דוח כספי 31.10'!A:J,9,0)</f>
        <v>150000</v>
      </c>
      <c r="P52" s="20">
        <f>-VLOOKUP(A:A,'[1]דוח כספי 31.10'!A:D,4,0)</f>
        <v>191180.59</v>
      </c>
      <c r="Q52" s="20">
        <v>220000</v>
      </c>
      <c r="R52" s="69"/>
      <c r="S52" s="12"/>
      <c r="T52" s="22"/>
      <c r="AE52" s="23">
        <f t="shared" si="1"/>
        <v>-41180.589999999997</v>
      </c>
      <c r="AF52" s="1">
        <v>0</v>
      </c>
    </row>
    <row r="53" spans="1:32">
      <c r="A53" s="19">
        <v>1244000790</v>
      </c>
      <c r="B53" s="19" t="str">
        <f t="shared" si="21"/>
        <v>790</v>
      </c>
      <c r="C53" s="19" t="str">
        <f t="shared" si="22"/>
        <v>244000</v>
      </c>
      <c r="D53" s="19" t="s">
        <v>78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>
        <f>-VLOOKUP(A:A,'[1]דוח כספי 31.10'!A:J,9,0)</f>
        <v>35000</v>
      </c>
      <c r="P53" s="20">
        <f>-VLOOKUP(A:A,'[1]דוח כספי 31.10'!A:D,4,0)</f>
        <v>14800</v>
      </c>
      <c r="Q53" s="20">
        <v>20000</v>
      </c>
      <c r="R53" s="69"/>
      <c r="S53" s="12"/>
      <c r="T53" s="22"/>
      <c r="AE53" s="23">
        <f t="shared" si="1"/>
        <v>20200</v>
      </c>
      <c r="AF53" s="1">
        <v>-11000</v>
      </c>
    </row>
    <row r="54" spans="1:32">
      <c r="A54" s="19">
        <v>1244100210</v>
      </c>
      <c r="B54" s="19" t="str">
        <f t="shared" si="21"/>
        <v>210</v>
      </c>
      <c r="C54" s="19" t="str">
        <f t="shared" si="22"/>
        <v>244100</v>
      </c>
      <c r="D54" s="19" t="s">
        <v>79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>
        <f>-VLOOKUP(A:A,'[1]דוח כספי 31.10'!A:J,9,0)</f>
        <v>20000</v>
      </c>
      <c r="P54" s="20">
        <f>-VLOOKUP(A:A,'[1]דוח כספי 31.10'!A:D,4,0)</f>
        <v>12120</v>
      </c>
      <c r="Q54" s="20">
        <v>15000</v>
      </c>
      <c r="R54" s="69"/>
      <c r="S54" s="12"/>
      <c r="T54" s="22"/>
      <c r="AE54" s="23">
        <f t="shared" si="1"/>
        <v>7880</v>
      </c>
      <c r="AF54" s="1">
        <v>0</v>
      </c>
    </row>
    <row r="55" spans="1:32">
      <c r="A55" s="19">
        <v>1249000540</v>
      </c>
      <c r="B55" s="19" t="str">
        <f t="shared" si="21"/>
        <v>540</v>
      </c>
      <c r="C55" s="19" t="str">
        <f t="shared" si="22"/>
        <v>249000</v>
      </c>
      <c r="D55" s="19" t="s">
        <v>80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>
        <f>-VLOOKUP(A:A,'[1]דוח כספי 31.10'!A:J,9,0)</f>
        <v>0</v>
      </c>
      <c r="P55" s="20">
        <f>-VLOOKUP(A:A,'[1]דוח כספי 31.10'!A:D,4,0)</f>
        <v>0</v>
      </c>
      <c r="Q55" s="20">
        <f t="shared" si="20"/>
        <v>0</v>
      </c>
      <c r="R55" s="69"/>
      <c r="S55" s="12"/>
      <c r="T55" s="22"/>
      <c r="AE55" s="23">
        <f t="shared" si="1"/>
        <v>0</v>
      </c>
    </row>
    <row r="56" spans="1:32">
      <c r="A56" s="19">
        <v>1296000960</v>
      </c>
      <c r="B56" s="19" t="str">
        <f t="shared" si="21"/>
        <v>960</v>
      </c>
      <c r="C56" s="19" t="str">
        <f t="shared" si="22"/>
        <v>296000</v>
      </c>
      <c r="D56" s="19" t="s">
        <v>81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>
        <f>-VLOOKUP(A:A,'[1]דוח כספי 31.10'!A:J,9,0)</f>
        <v>0</v>
      </c>
      <c r="P56" s="20">
        <f>-VLOOKUP(A:A,'[1]דוח כספי 31.10'!A:D,4,0)</f>
        <v>0</v>
      </c>
      <c r="Q56" s="20">
        <f t="shared" si="20"/>
        <v>0</v>
      </c>
      <c r="R56" s="69"/>
      <c r="S56" s="12"/>
      <c r="T56" s="22"/>
      <c r="AE56" s="23">
        <f t="shared" si="1"/>
        <v>0</v>
      </c>
    </row>
    <row r="57" spans="1:32">
      <c r="A57" s="174"/>
      <c r="B57" s="175"/>
      <c r="C57" s="175"/>
      <c r="D57" s="176" t="s">
        <v>68</v>
      </c>
      <c r="E57" s="177" t="e">
        <f>SUM(#REF!)</f>
        <v>#REF!</v>
      </c>
      <c r="F57" s="177" t="e">
        <f>SUM(#REF!)</f>
        <v>#REF!</v>
      </c>
      <c r="G57" s="177" t="e">
        <f>SUM(#REF!)</f>
        <v>#REF!</v>
      </c>
      <c r="H57" s="177" t="e">
        <f>SUM(#REF!)</f>
        <v>#REF!</v>
      </c>
      <c r="I57" s="177" t="e">
        <f>SUM(#REF!)</f>
        <v>#REF!</v>
      </c>
      <c r="J57" s="177" t="e">
        <f>SUM(#REF!)</f>
        <v>#REF!</v>
      </c>
      <c r="K57" s="177" t="e">
        <f>SUM(#REF!)</f>
        <v>#REF!</v>
      </c>
      <c r="L57" s="177" t="e">
        <f>SUM(#REF!)</f>
        <v>#REF!</v>
      </c>
      <c r="M57" s="177" t="e">
        <f>SUM(#REF!)</f>
        <v>#REF!</v>
      </c>
      <c r="N57" s="177" t="e">
        <f>SUM(#REF!)</f>
        <v>#REF!</v>
      </c>
      <c r="O57" s="177">
        <f>SUM(O30:O56)</f>
        <v>2058000</v>
      </c>
      <c r="P57" s="177">
        <f t="shared" ref="P57:Q57" si="23">SUM(P30:P56)</f>
        <v>1930027.07</v>
      </c>
      <c r="Q57" s="177">
        <f t="shared" si="23"/>
        <v>1980000</v>
      </c>
      <c r="R57" s="178"/>
      <c r="S57" s="12">
        <f t="shared" si="0"/>
        <v>1</v>
      </c>
      <c r="T57" s="22" t="e">
        <f t="shared" si="10"/>
        <v>#REF!</v>
      </c>
      <c r="AE57" s="23">
        <f t="shared" si="1"/>
        <v>127972.92999999993</v>
      </c>
    </row>
    <row r="58" spans="1:32">
      <c r="A58" s="179"/>
      <c r="B58" s="37" t="s">
        <v>83</v>
      </c>
      <c r="C58" s="37"/>
      <c r="D58" s="37"/>
      <c r="E58" s="37"/>
      <c r="F58" s="37"/>
      <c r="G58" s="37"/>
      <c r="H58" s="38"/>
      <c r="I58" s="20"/>
      <c r="J58" s="20"/>
      <c r="K58" s="20"/>
      <c r="L58" s="20"/>
      <c r="M58" s="20"/>
      <c r="N58" s="20"/>
      <c r="O58" s="20"/>
      <c r="P58" s="20"/>
      <c r="Q58" s="20">
        <f t="shared" ref="Q58:Q63" si="24">P58/10*12</f>
        <v>0</v>
      </c>
      <c r="R58" s="69"/>
      <c r="S58" s="12">
        <f t="shared" si="0"/>
        <v>1</v>
      </c>
      <c r="T58" s="22">
        <f t="shared" si="10"/>
        <v>0</v>
      </c>
      <c r="AE58" s="23">
        <f t="shared" si="1"/>
        <v>0</v>
      </c>
    </row>
    <row r="59" spans="1:32">
      <c r="A59" s="19">
        <v>1312200920</v>
      </c>
      <c r="B59" s="19" t="str">
        <f t="shared" ref="B59:B63" si="25">MID(A59,8,3)</f>
        <v>920</v>
      </c>
      <c r="C59" s="19" t="str">
        <f t="shared" ref="C59:C63" si="26">MID(A59,2,6)</f>
        <v>312200</v>
      </c>
      <c r="D59" s="19" t="s">
        <v>90</v>
      </c>
      <c r="E59" s="20">
        <v>270000</v>
      </c>
      <c r="F59" s="20">
        <v>263968.73</v>
      </c>
      <c r="G59" s="20">
        <f t="shared" ref="G59" si="27">F59*12/10</f>
        <v>316762.47599999997</v>
      </c>
      <c r="H59" s="20">
        <f t="shared" ref="H59:H63" si="28">G59</f>
        <v>316762.47599999997</v>
      </c>
      <c r="I59" s="20" t="e">
        <f>VLOOKUP(A59,#REF!,6,0)</f>
        <v>#REF!</v>
      </c>
      <c r="J59" s="20" t="e">
        <f t="shared" ref="J59:J106" si="29">+I59*1.71428571428571</f>
        <v>#REF!</v>
      </c>
      <c r="K59" s="20">
        <v>300000</v>
      </c>
      <c r="L59" s="20">
        <v>250000</v>
      </c>
      <c r="M59" s="20">
        <v>300000</v>
      </c>
      <c r="N59" s="20">
        <f>VLOOKUP(A59,[1]כספי!$A$1:$E$324,5,0)</f>
        <v>145988.82</v>
      </c>
      <c r="O59" s="20">
        <f>-VLOOKUP(A:A,'[1]דוח כספי 31.10'!A:J,9,0)</f>
        <v>8153000</v>
      </c>
      <c r="P59" s="20">
        <f>-VLOOKUP(A:A,'[1]דוח כספי 31.10'!A:D,4,0)</f>
        <v>7031560.8899999997</v>
      </c>
      <c r="Q59" s="20">
        <v>8438000</v>
      </c>
      <c r="R59" s="69"/>
      <c r="S59" s="12">
        <f t="shared" si="0"/>
        <v>1</v>
      </c>
      <c r="T59" s="22">
        <f t="shared" si="10"/>
        <v>6731560.8899999997</v>
      </c>
      <c r="AE59" s="23">
        <f t="shared" si="1"/>
        <v>1121439.1100000003</v>
      </c>
    </row>
    <row r="60" spans="1:32">
      <c r="A60" s="19">
        <v>1312210920</v>
      </c>
      <c r="B60" s="19" t="str">
        <f t="shared" si="25"/>
        <v>920</v>
      </c>
      <c r="C60" s="19" t="str">
        <f t="shared" si="26"/>
        <v>312210</v>
      </c>
      <c r="D60" s="19" t="s">
        <v>91</v>
      </c>
      <c r="E60" s="20">
        <v>1090000</v>
      </c>
      <c r="F60" s="20">
        <f>675630.89+100000</f>
        <v>775630.89</v>
      </c>
      <c r="G60" s="20">
        <f>F60*12/10+370000</f>
        <v>1300757.068</v>
      </c>
      <c r="H60" s="20">
        <v>930757.06799999997</v>
      </c>
      <c r="I60" s="20" t="e">
        <f>VLOOKUP(A60,#REF!,6,0)</f>
        <v>#REF!</v>
      </c>
      <c r="J60" s="20" t="e">
        <f t="shared" si="29"/>
        <v>#REF!</v>
      </c>
      <c r="K60" s="20">
        <v>1100000</v>
      </c>
      <c r="L60" s="20">
        <v>900000</v>
      </c>
      <c r="M60" s="20">
        <v>1250000</v>
      </c>
      <c r="N60" s="20">
        <v>817191.01</v>
      </c>
      <c r="O60" s="20">
        <f>-VLOOKUP(A:A,'[1]דוח כספי 31.10'!A:J,9,0)</f>
        <v>0</v>
      </c>
      <c r="P60" s="20">
        <f>-VLOOKUP(A:A,'[1]דוח כספי 31.10'!A:D,4,0)</f>
        <v>0</v>
      </c>
      <c r="Q60" s="20">
        <f t="shared" si="24"/>
        <v>0</v>
      </c>
      <c r="R60" s="69"/>
      <c r="S60" s="12">
        <f t="shared" si="0"/>
        <v>1</v>
      </c>
      <c r="T60" s="22">
        <f t="shared" si="10"/>
        <v>-1250000</v>
      </c>
      <c r="AE60" s="23">
        <f t="shared" si="1"/>
        <v>0</v>
      </c>
    </row>
    <row r="61" spans="1:32">
      <c r="A61" s="19">
        <v>1312220920</v>
      </c>
      <c r="B61" s="19" t="str">
        <f t="shared" si="25"/>
        <v>920</v>
      </c>
      <c r="C61" s="19" t="str">
        <f t="shared" si="26"/>
        <v>312220</v>
      </c>
      <c r="D61" s="19" t="s">
        <v>92</v>
      </c>
      <c r="E61" s="20">
        <v>120000</v>
      </c>
      <c r="F61" s="20">
        <v>122149.44</v>
      </c>
      <c r="G61" s="20">
        <f>136164+14000</f>
        <v>150164</v>
      </c>
      <c r="H61" s="20">
        <f t="shared" si="28"/>
        <v>150164</v>
      </c>
      <c r="I61" s="20" t="e">
        <f>VLOOKUP(A61,#REF!,6,0)</f>
        <v>#REF!</v>
      </c>
      <c r="J61" s="20" t="e">
        <f t="shared" si="29"/>
        <v>#REF!</v>
      </c>
      <c r="K61" s="20">
        <v>200000</v>
      </c>
      <c r="L61" s="20">
        <v>190000</v>
      </c>
      <c r="M61" s="20">
        <v>210000</v>
      </c>
      <c r="N61" s="20" t="e">
        <f>VLOOKUP(A61,[1]כספי!$A$1:$E$324,5,0)</f>
        <v>#N/A</v>
      </c>
      <c r="O61" s="20">
        <f>-VLOOKUP(A:A,'[1]דוח כספי 31.10'!A:J,9,0)</f>
        <v>527000</v>
      </c>
      <c r="P61" s="20">
        <f>-VLOOKUP(A:A,'[1]דוח כספי 31.10'!A:D,4,0)</f>
        <v>530396.04</v>
      </c>
      <c r="Q61" s="20">
        <v>637000</v>
      </c>
      <c r="R61" s="69"/>
      <c r="S61" s="12">
        <f t="shared" si="0"/>
        <v>1</v>
      </c>
      <c r="T61" s="22">
        <f t="shared" si="10"/>
        <v>320396.04000000004</v>
      </c>
      <c r="AE61" s="23">
        <f t="shared" si="1"/>
        <v>-3396.0400000000373</v>
      </c>
    </row>
    <row r="62" spans="1:32">
      <c r="A62" s="19">
        <v>1312300290</v>
      </c>
      <c r="B62" s="19" t="str">
        <f t="shared" si="25"/>
        <v>290</v>
      </c>
      <c r="C62" s="19" t="str">
        <f t="shared" si="26"/>
        <v>312300</v>
      </c>
      <c r="D62" s="19" t="s">
        <v>99</v>
      </c>
      <c r="E62" s="20">
        <v>120000</v>
      </c>
      <c r="F62" s="20">
        <v>10719.2</v>
      </c>
      <c r="G62" s="20">
        <f>38682+10000</f>
        <v>48682</v>
      </c>
      <c r="H62" s="20">
        <f t="shared" si="28"/>
        <v>48682</v>
      </c>
      <c r="I62" s="20" t="e">
        <f>VLOOKUP(A62,#REF!,6,0)</f>
        <v>#REF!</v>
      </c>
      <c r="J62" s="20" t="e">
        <f t="shared" si="29"/>
        <v>#REF!</v>
      </c>
      <c r="K62" s="20">
        <v>100000</v>
      </c>
      <c r="L62" s="20">
        <v>108000</v>
      </c>
      <c r="M62" s="20">
        <v>108000</v>
      </c>
      <c r="N62" s="20" t="e">
        <f>VLOOKUP(A62,[1]כספי!$A$1:$E$324,5,0)</f>
        <v>#N/A</v>
      </c>
      <c r="O62" s="20">
        <f>-VLOOKUP(A:A,'[1]דוח כספי 31.10'!A:J,9,0)</f>
        <v>90000</v>
      </c>
      <c r="P62" s="20">
        <f>-VLOOKUP(A:A,'[1]דוח כספי 31.10'!A:D,4,0)</f>
        <v>60800</v>
      </c>
      <c r="Q62" s="20">
        <v>73000</v>
      </c>
      <c r="R62" s="69"/>
      <c r="S62" s="12">
        <f t="shared" si="0"/>
        <v>1</v>
      </c>
      <c r="T62" s="22">
        <f t="shared" si="10"/>
        <v>-47200</v>
      </c>
      <c r="AE62" s="23">
        <f t="shared" si="1"/>
        <v>29200</v>
      </c>
    </row>
    <row r="63" spans="1:32">
      <c r="A63" s="19">
        <v>1312310290</v>
      </c>
      <c r="B63" s="19" t="str">
        <f t="shared" si="25"/>
        <v>290</v>
      </c>
      <c r="C63" s="19" t="str">
        <f t="shared" si="26"/>
        <v>312310</v>
      </c>
      <c r="D63" s="19" t="s">
        <v>675</v>
      </c>
      <c r="E63" s="20">
        <v>4000</v>
      </c>
      <c r="F63" s="20">
        <v>3626.16</v>
      </c>
      <c r="G63" s="20">
        <f>F63*12/10</f>
        <v>4351.3919999999998</v>
      </c>
      <c r="H63" s="20">
        <f t="shared" si="28"/>
        <v>4351.3919999999998</v>
      </c>
      <c r="I63" s="20" t="e">
        <f>VLOOKUP(A63,#REF!,6,0)</f>
        <v>#REF!</v>
      </c>
      <c r="J63" s="20" t="e">
        <f t="shared" si="29"/>
        <v>#REF!</v>
      </c>
      <c r="K63" s="20">
        <v>4000</v>
      </c>
      <c r="L63" s="20">
        <v>4000</v>
      </c>
      <c r="M63" s="20">
        <v>4000</v>
      </c>
      <c r="N63" s="20" t="e">
        <f>VLOOKUP(A63,[1]כספי!$A$1:$E$324,5,0)</f>
        <v>#N/A</v>
      </c>
      <c r="O63" s="20">
        <f>-VLOOKUP(A:A,'[1]דוח כספי 31.10'!A:J,9,0)</f>
        <v>0</v>
      </c>
      <c r="P63" s="20">
        <f>-VLOOKUP(A:A,'[1]דוח כספי 31.10'!A:D,4,0)</f>
        <v>0</v>
      </c>
      <c r="Q63" s="20">
        <f t="shared" si="24"/>
        <v>0</v>
      </c>
      <c r="R63" s="69"/>
      <c r="S63" s="12">
        <f t="shared" si="0"/>
        <v>1</v>
      </c>
      <c r="T63" s="22">
        <f t="shared" si="10"/>
        <v>-4000</v>
      </c>
      <c r="AE63" s="23">
        <f t="shared" si="1"/>
        <v>0</v>
      </c>
    </row>
    <row r="64" spans="1:32">
      <c r="A64" s="169"/>
      <c r="B64" s="170"/>
      <c r="C64" s="170"/>
      <c r="D64" s="171" t="s">
        <v>676</v>
      </c>
      <c r="E64" s="172">
        <f t="shared" ref="E64:Q64" si="30">SUM(E59:E63)</f>
        <v>1604000</v>
      </c>
      <c r="F64" s="172">
        <f t="shared" si="30"/>
        <v>1176094.42</v>
      </c>
      <c r="G64" s="172">
        <f t="shared" si="30"/>
        <v>1820716.936</v>
      </c>
      <c r="H64" s="172">
        <f t="shared" si="30"/>
        <v>1450716.936</v>
      </c>
      <c r="I64" s="172" t="e">
        <f t="shared" si="30"/>
        <v>#REF!</v>
      </c>
      <c r="J64" s="172" t="e">
        <f t="shared" si="30"/>
        <v>#REF!</v>
      </c>
      <c r="K64" s="172">
        <f t="shared" si="30"/>
        <v>1704000</v>
      </c>
      <c r="L64" s="172">
        <f t="shared" si="30"/>
        <v>1452000</v>
      </c>
      <c r="M64" s="172">
        <f t="shared" si="30"/>
        <v>1872000</v>
      </c>
      <c r="N64" s="172" t="e">
        <f t="shared" si="30"/>
        <v>#N/A</v>
      </c>
      <c r="O64" s="172">
        <f t="shared" si="30"/>
        <v>8770000</v>
      </c>
      <c r="P64" s="172">
        <f t="shared" si="30"/>
        <v>7622756.9299999997</v>
      </c>
      <c r="Q64" s="172">
        <f t="shared" si="30"/>
        <v>9148000</v>
      </c>
      <c r="R64" s="173"/>
      <c r="S64" s="12">
        <f t="shared" si="0"/>
        <v>1</v>
      </c>
      <c r="T64" s="22">
        <f t="shared" si="10"/>
        <v>5750756.9299999997</v>
      </c>
      <c r="AE64" s="23">
        <f t="shared" si="1"/>
        <v>1147243.0700000003</v>
      </c>
    </row>
    <row r="65" spans="1:32">
      <c r="A65" s="19">
        <v>1313200740</v>
      </c>
      <c r="B65" s="19" t="str">
        <f t="shared" ref="B65:B70" si="31">MID(A65,8,3)</f>
        <v>740</v>
      </c>
      <c r="C65" s="19" t="str">
        <f t="shared" ref="C65:C70" si="32">MID(A65,2,6)</f>
        <v>313200</v>
      </c>
      <c r="D65" s="19" t="s">
        <v>101</v>
      </c>
      <c r="E65" s="20">
        <v>10000</v>
      </c>
      <c r="F65" s="20">
        <v>25000</v>
      </c>
      <c r="G65" s="20">
        <f>F65*12/10</f>
        <v>30000</v>
      </c>
      <c r="H65" s="20">
        <f t="shared" ref="H65:H66" si="33">G65</f>
        <v>30000</v>
      </c>
      <c r="I65" s="20" t="e">
        <f>VLOOKUP(A65,#REF!,6,0)</f>
        <v>#REF!</v>
      </c>
      <c r="J65" s="20" t="e">
        <f t="shared" si="29"/>
        <v>#REF!</v>
      </c>
      <c r="K65" s="20">
        <v>30000</v>
      </c>
      <c r="L65" s="20">
        <v>41000</v>
      </c>
      <c r="M65" s="20">
        <v>41000</v>
      </c>
      <c r="N65" s="20" t="e">
        <f>VLOOKUP(A65,[1]כספי!$A$1:$E$324,5,0)</f>
        <v>#N/A</v>
      </c>
      <c r="O65" s="20">
        <f>-VLOOKUP(A:A,'[1]דוח כספי 31.10'!A:J,9,0)</f>
        <v>0</v>
      </c>
      <c r="P65" s="20">
        <f>-VLOOKUP(A:A,'[1]דוח כספי 31.10'!A:D,4,0)</f>
        <v>0</v>
      </c>
      <c r="Q65" s="20">
        <f t="shared" ref="Q65:Q69" si="34">P65/10*12</f>
        <v>0</v>
      </c>
      <c r="R65" s="69"/>
      <c r="S65" s="12">
        <f t="shared" si="0"/>
        <v>1</v>
      </c>
      <c r="T65" s="22">
        <f t="shared" si="10"/>
        <v>-41000</v>
      </c>
      <c r="AE65" s="23">
        <f t="shared" si="1"/>
        <v>0</v>
      </c>
    </row>
    <row r="66" spans="1:32">
      <c r="A66" s="19">
        <v>1313200920</v>
      </c>
      <c r="B66" s="19" t="str">
        <f t="shared" si="31"/>
        <v>920</v>
      </c>
      <c r="C66" s="19" t="str">
        <f t="shared" si="32"/>
        <v>313200</v>
      </c>
      <c r="D66" s="19" t="s">
        <v>94</v>
      </c>
      <c r="E66" s="20"/>
      <c r="F66" s="20">
        <v>69500.960000000006</v>
      </c>
      <c r="G66" s="20">
        <f>F66*12/10</f>
        <v>83401.152000000002</v>
      </c>
      <c r="H66" s="20">
        <f t="shared" si="33"/>
        <v>83401.152000000002</v>
      </c>
      <c r="I66" s="20" t="e">
        <f>VLOOKUP(A66,#REF!,6,0)</f>
        <v>#REF!</v>
      </c>
      <c r="J66" s="20" t="e">
        <f t="shared" si="29"/>
        <v>#REF!</v>
      </c>
      <c r="K66" s="20">
        <v>83401</v>
      </c>
      <c r="L66" s="20">
        <v>0</v>
      </c>
      <c r="M66" s="20">
        <v>0</v>
      </c>
      <c r="N66" s="20">
        <v>0</v>
      </c>
      <c r="O66" s="20">
        <f>-VLOOKUP(A:A,'[1]דוח כספי 31.10'!A:J,9,0)</f>
        <v>1019000</v>
      </c>
      <c r="P66" s="20">
        <f>-VLOOKUP(A:A,'[1]דוח כספי 31.10'!A:D,4,0)</f>
        <v>761197.42</v>
      </c>
      <c r="Q66" s="20">
        <v>980000</v>
      </c>
      <c r="R66" s="69"/>
      <c r="S66" s="12">
        <f t="shared" si="0"/>
        <v>1</v>
      </c>
      <c r="T66" s="22">
        <f t="shared" si="10"/>
        <v>761197.42</v>
      </c>
      <c r="AE66" s="23">
        <f t="shared" si="1"/>
        <v>257802.57999999996</v>
      </c>
    </row>
    <row r="67" spans="1:32">
      <c r="A67" s="19">
        <v>1313210920</v>
      </c>
      <c r="B67" s="19" t="str">
        <f t="shared" si="31"/>
        <v>920</v>
      </c>
      <c r="C67" s="19" t="str">
        <f t="shared" si="32"/>
        <v>313210</v>
      </c>
      <c r="D67" s="19" t="s">
        <v>97</v>
      </c>
      <c r="E67" s="20">
        <v>425000</v>
      </c>
      <c r="F67" s="20">
        <v>273419.33</v>
      </c>
      <c r="G67" s="20">
        <f>F67*12/10</f>
        <v>328103.196</v>
      </c>
      <c r="H67" s="20">
        <v>70000</v>
      </c>
      <c r="I67" s="20" t="e">
        <f>VLOOKUP(A67,#REF!,6,0)</f>
        <v>#REF!</v>
      </c>
      <c r="J67" s="20" t="e">
        <f t="shared" si="29"/>
        <v>#REF!</v>
      </c>
      <c r="K67" s="20">
        <v>70000</v>
      </c>
      <c r="L67" s="20">
        <v>60000</v>
      </c>
      <c r="M67" s="20">
        <v>80000</v>
      </c>
      <c r="N67" s="20">
        <f>VLOOKUP(A67,[1]כספי!$A$1:$E$324,5,0)</f>
        <v>287834.90000000002</v>
      </c>
      <c r="O67" s="20">
        <f>-VLOOKUP(A:A,'[1]דוח כספי 31.10'!A:J,9,0)</f>
        <v>0</v>
      </c>
      <c r="P67" s="20"/>
      <c r="Q67" s="20">
        <f t="shared" si="34"/>
        <v>0</v>
      </c>
      <c r="R67" s="69"/>
      <c r="S67" s="12">
        <f t="shared" si="0"/>
        <v>1</v>
      </c>
      <c r="T67" s="22">
        <f t="shared" si="10"/>
        <v>-80000</v>
      </c>
      <c r="AE67" s="23">
        <f t="shared" si="1"/>
        <v>0</v>
      </c>
    </row>
    <row r="68" spans="1:32">
      <c r="A68" s="19">
        <v>1313220920</v>
      </c>
      <c r="B68" s="19" t="str">
        <f t="shared" si="31"/>
        <v>920</v>
      </c>
      <c r="C68" s="19" t="str">
        <f t="shared" si="32"/>
        <v>313220</v>
      </c>
      <c r="D68" s="19" t="s">
        <v>102</v>
      </c>
      <c r="E68" s="20"/>
      <c r="F68" s="20"/>
      <c r="G68" s="20"/>
      <c r="H68" s="20">
        <v>450000</v>
      </c>
      <c r="I68" s="20" t="e">
        <f>VLOOKUP(A68,#REF!,6,0)</f>
        <v>#REF!</v>
      </c>
      <c r="J68" s="20" t="e">
        <f t="shared" si="29"/>
        <v>#REF!</v>
      </c>
      <c r="K68" s="20">
        <v>450000</v>
      </c>
      <c r="L68" s="20">
        <v>452000</v>
      </c>
      <c r="M68" s="20">
        <v>490000</v>
      </c>
      <c r="N68" s="20">
        <f>VLOOKUP(A68,[1]כספי!$A$1:$E$324,5,0)</f>
        <v>55297.2</v>
      </c>
      <c r="O68" s="20">
        <f>-VLOOKUP(A:A,'[1]דוח כספי 31.10'!A:J,9,0)</f>
        <v>25000</v>
      </c>
      <c r="P68" s="20">
        <f>-VLOOKUP(A:A,'[1]דוח כספי 31.10'!A:D,4,0)</f>
        <v>0</v>
      </c>
      <c r="Q68" s="20">
        <f t="shared" si="34"/>
        <v>0</v>
      </c>
      <c r="R68" s="69"/>
      <c r="S68" s="12">
        <f t="shared" si="0"/>
        <v>1</v>
      </c>
      <c r="T68" s="22">
        <f t="shared" si="10"/>
        <v>-490000</v>
      </c>
      <c r="AE68" s="23">
        <f t="shared" si="1"/>
        <v>25000</v>
      </c>
    </row>
    <row r="69" spans="1:32">
      <c r="A69" s="19">
        <v>1313230920</v>
      </c>
      <c r="B69" s="19" t="str">
        <f t="shared" si="31"/>
        <v>920</v>
      </c>
      <c r="C69" s="19" t="str">
        <f t="shared" si="32"/>
        <v>313230</v>
      </c>
      <c r="D69" s="19" t="s">
        <v>103</v>
      </c>
      <c r="E69" s="20"/>
      <c r="F69" s="20"/>
      <c r="G69" s="20"/>
      <c r="H69" s="20">
        <v>200000</v>
      </c>
      <c r="I69" s="20" t="e">
        <f>VLOOKUP(A69,#REF!,6,0)</f>
        <v>#REF!</v>
      </c>
      <c r="J69" s="20">
        <v>200000</v>
      </c>
      <c r="K69" s="20">
        <v>200000</v>
      </c>
      <c r="L69" s="20">
        <v>76000</v>
      </c>
      <c r="M69" s="20">
        <v>100000</v>
      </c>
      <c r="N69" s="20" t="e">
        <f>VLOOKUP(A69,[1]כספי!$A$1:$E$324,5,0)</f>
        <v>#N/A</v>
      </c>
      <c r="O69" s="20">
        <v>11000</v>
      </c>
      <c r="P69" s="180">
        <f>-VLOOKUP(A:A,'[1]דוח כספי 31.10'!A:D,4,0)</f>
        <v>0</v>
      </c>
      <c r="Q69" s="180">
        <f t="shared" si="34"/>
        <v>0</v>
      </c>
      <c r="R69" s="69"/>
      <c r="S69" s="12">
        <f t="shared" si="0"/>
        <v>1</v>
      </c>
      <c r="T69" s="22">
        <f t="shared" si="10"/>
        <v>-100000</v>
      </c>
      <c r="AE69" s="23">
        <f t="shared" ref="AE69:AE132" si="35">O69-P69</f>
        <v>11000</v>
      </c>
    </row>
    <row r="70" spans="1:32">
      <c r="A70" s="19">
        <v>1313240920</v>
      </c>
      <c r="B70" s="19" t="str">
        <f t="shared" si="31"/>
        <v>920</v>
      </c>
      <c r="C70" s="19" t="str">
        <f t="shared" si="32"/>
        <v>313240</v>
      </c>
      <c r="D70" s="19" t="s">
        <v>95</v>
      </c>
      <c r="E70" s="20"/>
      <c r="F70" s="20"/>
      <c r="G70" s="20"/>
      <c r="H70" s="20">
        <f>6750*12</f>
        <v>81000</v>
      </c>
      <c r="I70" s="20">
        <v>47325</v>
      </c>
      <c r="J70" s="20">
        <f t="shared" si="29"/>
        <v>81128.571428571231</v>
      </c>
      <c r="K70" s="20">
        <v>81000</v>
      </c>
      <c r="L70" s="20">
        <v>80000</v>
      </c>
      <c r="M70" s="20">
        <v>80000</v>
      </c>
      <c r="N70" s="20">
        <f>VLOOKUP(A70,[1]כספי!$A$1:$E$324,5,0)</f>
        <v>-3420.73</v>
      </c>
      <c r="O70" s="20">
        <f>-VLOOKUP(A:A,'[1]דוח כספי 31.10'!A:J,9,0)</f>
        <v>0</v>
      </c>
      <c r="P70" s="20">
        <f>-VLOOKUP(A:A,'[1]דוח כספי 31.10'!A:D,4,0)</f>
        <v>909805</v>
      </c>
      <c r="Q70" s="20">
        <f>910000+205000+205000</f>
        <v>1320000</v>
      </c>
      <c r="R70" s="69"/>
      <c r="S70" s="12">
        <f t="shared" si="0"/>
        <v>1</v>
      </c>
      <c r="T70" s="22">
        <f t="shared" si="10"/>
        <v>829805</v>
      </c>
      <c r="AE70" s="23">
        <f t="shared" si="35"/>
        <v>-909805</v>
      </c>
    </row>
    <row r="71" spans="1:32">
      <c r="A71" s="169"/>
      <c r="B71" s="170"/>
      <c r="C71" s="170"/>
      <c r="D71" s="171" t="s">
        <v>496</v>
      </c>
      <c r="E71" s="172">
        <f t="shared" ref="E71:Q71" si="36">SUM(E65:E70)</f>
        <v>435000</v>
      </c>
      <c r="F71" s="172">
        <f t="shared" si="36"/>
        <v>367920.29000000004</v>
      </c>
      <c r="G71" s="172">
        <f t="shared" si="36"/>
        <v>441504.348</v>
      </c>
      <c r="H71" s="172">
        <f t="shared" si="36"/>
        <v>914401.152</v>
      </c>
      <c r="I71" s="172" t="e">
        <f t="shared" si="36"/>
        <v>#REF!</v>
      </c>
      <c r="J71" s="172" t="e">
        <f t="shared" si="36"/>
        <v>#REF!</v>
      </c>
      <c r="K71" s="172">
        <f t="shared" si="36"/>
        <v>914401</v>
      </c>
      <c r="L71" s="172">
        <f t="shared" si="36"/>
        <v>709000</v>
      </c>
      <c r="M71" s="172">
        <f t="shared" si="36"/>
        <v>791000</v>
      </c>
      <c r="N71" s="172" t="e">
        <f t="shared" si="36"/>
        <v>#N/A</v>
      </c>
      <c r="O71" s="172">
        <f t="shared" si="36"/>
        <v>1055000</v>
      </c>
      <c r="P71" s="172">
        <f t="shared" si="36"/>
        <v>1671002.42</v>
      </c>
      <c r="Q71" s="172">
        <f t="shared" si="36"/>
        <v>2300000</v>
      </c>
      <c r="R71" s="173"/>
      <c r="S71" s="12">
        <f t="shared" ref="S71:S78" si="37">IF(ISBLANK(A71),1,--OR(K71&gt;1,L71&gt;1,M71&gt;1))</f>
        <v>1</v>
      </c>
      <c r="T71" s="22">
        <f t="shared" si="10"/>
        <v>880002.41999999993</v>
      </c>
      <c r="AE71" s="23">
        <f t="shared" si="35"/>
        <v>-616002.41999999993</v>
      </c>
    </row>
    <row r="72" spans="1:32">
      <c r="A72" s="19">
        <v>1313300920</v>
      </c>
      <c r="B72" s="19" t="str">
        <f>MID(A72,8,3)</f>
        <v>920</v>
      </c>
      <c r="C72" s="19" t="str">
        <f>MID(A72,2,6)</f>
        <v>313300</v>
      </c>
      <c r="D72" s="19" t="s">
        <v>110</v>
      </c>
      <c r="E72" s="20">
        <v>620000</v>
      </c>
      <c r="F72" s="20">
        <f>35521.74+200000</f>
        <v>235521.74</v>
      </c>
      <c r="G72" s="20">
        <f>+F72</f>
        <v>235521.74</v>
      </c>
      <c r="H72" s="20">
        <v>156000</v>
      </c>
      <c r="I72" s="20" t="e">
        <f>VLOOKUP(A72,#REF!,6,0)</f>
        <v>#REF!</v>
      </c>
      <c r="J72" s="20" t="e">
        <f t="shared" si="29"/>
        <v>#REF!</v>
      </c>
      <c r="K72" s="20">
        <v>100000</v>
      </c>
      <c r="L72" s="20">
        <v>167000</v>
      </c>
      <c r="M72" s="20">
        <v>167000</v>
      </c>
      <c r="N72" s="20">
        <f>VLOOKUP(A72,[1]כספי!$A$1:$E$324,5,0)</f>
        <v>310244.73</v>
      </c>
      <c r="O72" s="20">
        <f>-VLOOKUP(A:A,'[1]דוח כספי 31.10'!A:J,9,0)</f>
        <v>1604000</v>
      </c>
      <c r="P72" s="20">
        <f>-VLOOKUP(A:A,'[1]דוח כספי 31.10'!A:D,4,0)</f>
        <v>1200705.96</v>
      </c>
      <c r="Q72" s="20">
        <v>1441000</v>
      </c>
      <c r="R72" s="69"/>
      <c r="S72" s="12">
        <f t="shared" si="37"/>
        <v>1</v>
      </c>
      <c r="T72" s="22">
        <f t="shared" si="10"/>
        <v>1033705.96</v>
      </c>
      <c r="AE72" s="23">
        <f t="shared" si="35"/>
        <v>403294.04000000004</v>
      </c>
    </row>
    <row r="73" spans="1:32">
      <c r="A73" s="19">
        <v>1313330920</v>
      </c>
      <c r="B73" s="19" t="str">
        <f t="shared" ref="B73:B76" si="38">MID(A73,8,3)</f>
        <v>920</v>
      </c>
      <c r="C73" s="19" t="str">
        <f t="shared" ref="C73:C76" si="39">MID(A73,2,6)</f>
        <v>313330</v>
      </c>
      <c r="D73" s="19" t="s">
        <v>112</v>
      </c>
      <c r="E73" s="20">
        <v>135000</v>
      </c>
      <c r="F73" s="20">
        <v>87115.63</v>
      </c>
      <c r="G73" s="20">
        <f>F73*12/10</f>
        <v>104538.75600000001</v>
      </c>
      <c r="H73" s="20">
        <f>G73</f>
        <v>104538.75600000001</v>
      </c>
      <c r="I73" s="20" t="e">
        <f>VLOOKUP(A73,#REF!,6,0)</f>
        <v>#REF!</v>
      </c>
      <c r="J73" s="20" t="e">
        <f t="shared" si="29"/>
        <v>#REF!</v>
      </c>
      <c r="K73" s="20">
        <v>35000</v>
      </c>
      <c r="L73" s="20">
        <v>32300</v>
      </c>
      <c r="M73" s="20">
        <v>32300</v>
      </c>
      <c r="N73" s="20" t="e">
        <f>VLOOKUP(A73,[1]כספי!$A$1:$E$324,5,0)</f>
        <v>#N/A</v>
      </c>
      <c r="O73" s="20">
        <f>-VLOOKUP(A:A,'[1]דוח כספי 31.10'!A:J,9,0)</f>
        <v>0</v>
      </c>
      <c r="P73" s="20">
        <f>-VLOOKUP(A:A,'[1]דוח כספי 31.10'!A:D,4,0)</f>
        <v>1083874.8700000001</v>
      </c>
      <c r="Q73" s="20">
        <v>1301000</v>
      </c>
      <c r="R73" s="69"/>
      <c r="S73" s="12">
        <f t="shared" si="37"/>
        <v>1</v>
      </c>
      <c r="T73" s="22">
        <f t="shared" si="10"/>
        <v>1051574.8700000001</v>
      </c>
      <c r="AE73" s="23">
        <f t="shared" si="35"/>
        <v>-1083874.8700000001</v>
      </c>
    </row>
    <row r="74" spans="1:32">
      <c r="A74" s="19">
        <v>1313340920</v>
      </c>
      <c r="B74" s="19" t="str">
        <f t="shared" si="38"/>
        <v>920</v>
      </c>
      <c r="C74" s="19" t="str">
        <f t="shared" si="39"/>
        <v>313340</v>
      </c>
      <c r="D74" s="19" t="s">
        <v>114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>
        <f>-VLOOKUP(A:A,'[1]דוח כספי 31.10'!A:J,9,0)</f>
        <v>1000</v>
      </c>
      <c r="P74" s="20">
        <f>-VLOOKUP(A:A,'[1]דוח כספי 31.10'!A:D,4,0)</f>
        <v>273910.03999999998</v>
      </c>
      <c r="Q74" s="20">
        <v>329000</v>
      </c>
      <c r="R74" s="69"/>
      <c r="S74" s="12"/>
      <c r="T74" s="22"/>
      <c r="AE74" s="23">
        <f t="shared" si="35"/>
        <v>-272910.03999999998</v>
      </c>
    </row>
    <row r="75" spans="1:32">
      <c r="A75" s="19">
        <v>1313350920</v>
      </c>
      <c r="B75" s="19" t="str">
        <f t="shared" si="38"/>
        <v>920</v>
      </c>
      <c r="C75" s="19" t="str">
        <f t="shared" si="39"/>
        <v>313350</v>
      </c>
      <c r="D75" s="19" t="s">
        <v>115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>
        <f>-VLOOKUP(A:A,'[1]דוח כספי 31.10'!A:J,9,0)</f>
        <v>0</v>
      </c>
      <c r="P75" s="20">
        <f>-VLOOKUP(A:A,'[1]דוח כספי 31.10'!A:D,4,0)</f>
        <v>363771.1</v>
      </c>
      <c r="Q75" s="20">
        <v>437000</v>
      </c>
      <c r="R75" s="69"/>
      <c r="S75" s="12"/>
      <c r="T75" s="22"/>
      <c r="AE75" s="23">
        <f t="shared" si="35"/>
        <v>-363771.1</v>
      </c>
    </row>
    <row r="76" spans="1:32">
      <c r="A76" s="19">
        <v>1313360920</v>
      </c>
      <c r="B76" s="19" t="str">
        <f t="shared" si="38"/>
        <v>920</v>
      </c>
      <c r="C76" s="19" t="str">
        <f t="shared" si="39"/>
        <v>313360</v>
      </c>
      <c r="D76" s="19" t="s">
        <v>106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>
        <f>-VLOOKUP(A:A,'[1]דוח כספי 31.10'!A:J,9,0)</f>
        <v>1000</v>
      </c>
      <c r="P76" s="20">
        <f>-VLOOKUP(A:A,'[1]דוח כספי 31.10'!A:D,4,0)</f>
        <v>7444.02</v>
      </c>
      <c r="Q76" s="20">
        <v>9000</v>
      </c>
      <c r="R76" s="69"/>
      <c r="S76" s="12"/>
      <c r="T76" s="22"/>
      <c r="AE76" s="23">
        <f t="shared" si="35"/>
        <v>-6444.02</v>
      </c>
      <c r="AF76" s="1">
        <v>-438000</v>
      </c>
    </row>
    <row r="77" spans="1:32">
      <c r="A77" s="169"/>
      <c r="B77" s="170"/>
      <c r="C77" s="170"/>
      <c r="D77" s="171" t="s">
        <v>499</v>
      </c>
      <c r="E77" s="172">
        <f t="shared" ref="E77:Q77" si="40">SUM(E72:E76)</f>
        <v>755000</v>
      </c>
      <c r="F77" s="172">
        <f t="shared" si="40"/>
        <v>322637.37</v>
      </c>
      <c r="G77" s="172">
        <f t="shared" si="40"/>
        <v>340060.49599999998</v>
      </c>
      <c r="H77" s="172">
        <f t="shared" si="40"/>
        <v>260538.75599999999</v>
      </c>
      <c r="I77" s="172" t="e">
        <f t="shared" si="40"/>
        <v>#REF!</v>
      </c>
      <c r="J77" s="172" t="e">
        <f t="shared" si="40"/>
        <v>#REF!</v>
      </c>
      <c r="K77" s="172">
        <f t="shared" si="40"/>
        <v>135000</v>
      </c>
      <c r="L77" s="172">
        <f t="shared" si="40"/>
        <v>199300</v>
      </c>
      <c r="M77" s="172">
        <f t="shared" si="40"/>
        <v>199300</v>
      </c>
      <c r="N77" s="172" t="e">
        <f t="shared" si="40"/>
        <v>#N/A</v>
      </c>
      <c r="O77" s="172">
        <f t="shared" si="40"/>
        <v>1606000</v>
      </c>
      <c r="P77" s="172">
        <f t="shared" si="40"/>
        <v>2929705.99</v>
      </c>
      <c r="Q77" s="172">
        <f t="shared" si="40"/>
        <v>3517000</v>
      </c>
      <c r="R77" s="173"/>
      <c r="S77" s="12">
        <f t="shared" si="37"/>
        <v>1</v>
      </c>
      <c r="T77" s="22">
        <f t="shared" si="10"/>
        <v>2730405.99</v>
      </c>
      <c r="AE77" s="23">
        <f t="shared" si="35"/>
        <v>-1323705.9900000002</v>
      </c>
    </row>
    <row r="78" spans="1:32">
      <c r="A78" s="19">
        <v>1313400920</v>
      </c>
      <c r="B78" s="19" t="str">
        <f>MID(A78,8,3)</f>
        <v>920</v>
      </c>
      <c r="C78" s="19" t="str">
        <f>MID(A78,2,6)</f>
        <v>313400</v>
      </c>
      <c r="D78" s="19" t="s">
        <v>116</v>
      </c>
      <c r="E78" s="20">
        <v>810000</v>
      </c>
      <c r="F78" s="20">
        <f>50000+639942.39</f>
        <v>689942.39</v>
      </c>
      <c r="G78" s="20">
        <f>F78*12/10</f>
        <v>827930.86800000002</v>
      </c>
      <c r="H78" s="20">
        <f>G78</f>
        <v>827930.86800000002</v>
      </c>
      <c r="I78" s="20" t="e">
        <f>VLOOKUP(A78,#REF!,6,0)</f>
        <v>#REF!</v>
      </c>
      <c r="J78" s="20" t="e">
        <f t="shared" si="29"/>
        <v>#REF!</v>
      </c>
      <c r="K78" s="20">
        <v>815000</v>
      </c>
      <c r="L78" s="20">
        <v>807000</v>
      </c>
      <c r="M78" s="20">
        <v>840000</v>
      </c>
      <c r="N78" s="20">
        <v>540000</v>
      </c>
      <c r="O78" s="20">
        <f>-VLOOKUP(A:A,'[1]דוח כספי 31.10'!A:J,9,0)</f>
        <v>0</v>
      </c>
      <c r="P78" s="20">
        <f>-VLOOKUP(A:A,'[1]דוח כספי 31.10'!A:D,4,0)</f>
        <v>0</v>
      </c>
      <c r="Q78" s="20">
        <f t="shared" ref="Q78:Q86" si="41">P78/10*12</f>
        <v>0</v>
      </c>
      <c r="R78" s="69"/>
      <c r="S78" s="12">
        <f t="shared" si="37"/>
        <v>1</v>
      </c>
      <c r="T78" s="22">
        <f t="shared" si="10"/>
        <v>-840000</v>
      </c>
      <c r="AE78" s="23">
        <f t="shared" si="35"/>
        <v>0</v>
      </c>
      <c r="AF78" s="1">
        <v>0</v>
      </c>
    </row>
    <row r="79" spans="1:32">
      <c r="A79" s="19">
        <v>1313410290</v>
      </c>
      <c r="B79" s="19" t="str">
        <f t="shared" ref="B79:B144" si="42">MID(A79,8,3)</f>
        <v>290</v>
      </c>
      <c r="C79" s="19" t="str">
        <f t="shared" ref="C79:C87" si="43">MID(A79,2,6)</f>
        <v>313410</v>
      </c>
      <c r="D79" s="19" t="s">
        <v>117</v>
      </c>
      <c r="E79" s="20"/>
      <c r="F79" s="20"/>
      <c r="G79" s="20"/>
      <c r="H79" s="20"/>
      <c r="I79" s="20"/>
      <c r="J79" s="20"/>
      <c r="K79" s="20"/>
      <c r="L79" s="20"/>
      <c r="M79" s="20"/>
      <c r="N79" s="20" t="e">
        <f>VLOOKUP(A79,[1]כספי!$A$1:$E$324,5,0)</f>
        <v>#N/A</v>
      </c>
      <c r="O79" s="20">
        <f>-VLOOKUP(A:A,'[1]דוח כספי 31.10'!A:J,9,0)</f>
        <v>0</v>
      </c>
      <c r="P79" s="20">
        <f>-VLOOKUP(A:A,'[1]דוח כספי 31.10'!A:D,4,0)</f>
        <v>3900</v>
      </c>
      <c r="Q79" s="20">
        <v>5000</v>
      </c>
      <c r="R79" s="69"/>
      <c r="S79" s="12"/>
      <c r="T79" s="22">
        <f t="shared" si="10"/>
        <v>3900</v>
      </c>
      <c r="AE79" s="23">
        <f t="shared" si="35"/>
        <v>-3900</v>
      </c>
      <c r="AF79" s="1">
        <v>-14000</v>
      </c>
    </row>
    <row r="80" spans="1:32">
      <c r="A80" s="19">
        <v>1313450920</v>
      </c>
      <c r="B80" s="19" t="str">
        <f t="shared" si="42"/>
        <v>920</v>
      </c>
      <c r="C80" s="19" t="str">
        <f t="shared" si="43"/>
        <v>313450</v>
      </c>
      <c r="D80" s="19" t="s">
        <v>121</v>
      </c>
      <c r="E80" s="20">
        <v>101000</v>
      </c>
      <c r="F80" s="20">
        <v>77093.149999999994</v>
      </c>
      <c r="G80" s="20">
        <f>77387+500</f>
        <v>77887</v>
      </c>
      <c r="H80" s="20">
        <f>G80</f>
        <v>77887</v>
      </c>
      <c r="I80" s="20" t="e">
        <f>VLOOKUP(A80,#REF!,6,0)</f>
        <v>#REF!</v>
      </c>
      <c r="J80" s="20" t="e">
        <f>+I80</f>
        <v>#REF!</v>
      </c>
      <c r="K80" s="20">
        <v>72753</v>
      </c>
      <c r="L80" s="20">
        <v>72700</v>
      </c>
      <c r="M80" s="20">
        <v>72700</v>
      </c>
      <c r="N80" s="20" t="e">
        <f>VLOOKUP(A80,[1]כספי!$A$1:$E$324,5,0)</f>
        <v>#N/A</v>
      </c>
      <c r="O80" s="20">
        <f>-VLOOKUP(A:A,'[1]דוח כספי 31.10'!A:J,9,0)</f>
        <v>0</v>
      </c>
      <c r="P80" s="20">
        <f>-VLOOKUP(A:A,'[1]דוח כספי 31.10'!A:D,4,0)</f>
        <v>146545.42000000001</v>
      </c>
      <c r="Q80" s="20">
        <v>176000</v>
      </c>
      <c r="R80" s="69"/>
      <c r="S80" s="12">
        <f t="shared" ref="S80:S100" si="44">IF(ISBLANK(A80),1,--OR(K80&gt;1,L80&gt;1,M80&gt;1))</f>
        <v>1</v>
      </c>
      <c r="T80" s="22">
        <f t="shared" si="10"/>
        <v>73845.420000000013</v>
      </c>
      <c r="AE80" s="23">
        <f t="shared" si="35"/>
        <v>-146545.42000000001</v>
      </c>
      <c r="AF80" s="1">
        <v>-7000</v>
      </c>
    </row>
    <row r="81" spans="1:32">
      <c r="A81" s="19">
        <v>1313451920</v>
      </c>
      <c r="B81" s="19" t="str">
        <f t="shared" si="42"/>
        <v>920</v>
      </c>
      <c r="C81" s="19" t="str">
        <f t="shared" si="43"/>
        <v>313451</v>
      </c>
      <c r="D81" s="19" t="s">
        <v>122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>
        <f>-VLOOKUP(A:A,'[1]דוח כספי 31.10'!A:J,9,0)</f>
        <v>0</v>
      </c>
      <c r="P81" s="20">
        <f>-VLOOKUP(A:A,'[1]דוח כספי 31.10'!A:D,4,0)</f>
        <v>0</v>
      </c>
      <c r="Q81" s="20">
        <f t="shared" si="41"/>
        <v>0</v>
      </c>
      <c r="R81" s="69"/>
      <c r="S81" s="12"/>
      <c r="T81" s="22"/>
      <c r="AE81" s="23">
        <f t="shared" si="35"/>
        <v>0</v>
      </c>
      <c r="AF81" s="1">
        <v>-19000</v>
      </c>
    </row>
    <row r="82" spans="1:32">
      <c r="A82" s="19">
        <v>1313452920</v>
      </c>
      <c r="B82" s="19" t="str">
        <f t="shared" si="42"/>
        <v>920</v>
      </c>
      <c r="C82" s="19" t="str">
        <f t="shared" si="43"/>
        <v>313452</v>
      </c>
      <c r="D82" s="19" t="s">
        <v>123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>
        <f>-VLOOKUP(A:A,'[1]דוח כספי 31.10'!A:J,9,0)</f>
        <v>0</v>
      </c>
      <c r="P82" s="20">
        <f>-VLOOKUP(A:A,'[1]דוח כספי 31.10'!A:D,4,0)</f>
        <v>0</v>
      </c>
      <c r="Q82" s="20">
        <f t="shared" si="41"/>
        <v>0</v>
      </c>
      <c r="R82" s="69"/>
      <c r="S82" s="12"/>
      <c r="T82" s="22"/>
      <c r="AE82" s="23">
        <f t="shared" si="35"/>
        <v>0</v>
      </c>
      <c r="AF82" s="1">
        <v>-3000</v>
      </c>
    </row>
    <row r="83" spans="1:32">
      <c r="A83" s="19">
        <v>1313453920</v>
      </c>
      <c r="B83" s="19" t="str">
        <f t="shared" si="42"/>
        <v>920</v>
      </c>
      <c r="C83" s="19" t="str">
        <f t="shared" si="43"/>
        <v>313453</v>
      </c>
      <c r="D83" s="19" t="s">
        <v>124</v>
      </c>
      <c r="E83" s="20">
        <v>40000</v>
      </c>
      <c r="F83" s="20">
        <v>34155.31</v>
      </c>
      <c r="G83" s="20">
        <f>F83*12/10</f>
        <v>40986.371999999996</v>
      </c>
      <c r="H83" s="20">
        <f>G83</f>
        <v>40986.371999999996</v>
      </c>
      <c r="I83" s="20" t="e">
        <f>VLOOKUP(A83,#REF!,6,0)</f>
        <v>#REF!</v>
      </c>
      <c r="J83" s="20" t="e">
        <f t="shared" si="29"/>
        <v>#REF!</v>
      </c>
      <c r="K83" s="20">
        <v>40000</v>
      </c>
      <c r="L83" s="20">
        <v>26700</v>
      </c>
      <c r="M83" s="20">
        <v>40000</v>
      </c>
      <c r="N83" s="20" t="e">
        <f>VLOOKUP(A83,[1]כספי!$A$1:$E$324,5,0)</f>
        <v>#N/A</v>
      </c>
      <c r="O83" s="20">
        <f>-VLOOKUP(A:A,'[1]דוח כספי 31.10'!A:J,9,0)</f>
        <v>0</v>
      </c>
      <c r="P83" s="20">
        <f>-VLOOKUP(A:A,'[1]דוח כספי 31.10'!A:D,4,0)</f>
        <v>0</v>
      </c>
      <c r="Q83" s="20">
        <f t="shared" si="41"/>
        <v>0</v>
      </c>
      <c r="R83" s="69"/>
      <c r="S83" s="12">
        <f t="shared" si="44"/>
        <v>1</v>
      </c>
      <c r="T83" s="22">
        <f t="shared" ref="T83:T88" si="45">+P83-M83</f>
        <v>-40000</v>
      </c>
      <c r="AE83" s="23">
        <f t="shared" si="35"/>
        <v>0</v>
      </c>
      <c r="AF83" s="1">
        <v>-485000</v>
      </c>
    </row>
    <row r="84" spans="1:32">
      <c r="A84" s="19">
        <v>1313600920</v>
      </c>
      <c r="B84" s="19" t="str">
        <f t="shared" si="42"/>
        <v>920</v>
      </c>
      <c r="C84" s="19" t="str">
        <f t="shared" si="43"/>
        <v>313600</v>
      </c>
      <c r="D84" s="19" t="s">
        <v>126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>
        <f>-VLOOKUP(A:A,'[1]דוח כספי 31.10'!A:J,9,0)</f>
        <v>0</v>
      </c>
      <c r="P84" s="20">
        <f>-VLOOKUP(A:A,'[1]דוח כספי 31.10'!A:D,4,0)</f>
        <v>0</v>
      </c>
      <c r="Q84" s="20">
        <f t="shared" si="41"/>
        <v>0</v>
      </c>
      <c r="R84" s="69"/>
      <c r="S84" s="12"/>
      <c r="T84" s="22"/>
      <c r="AE84" s="23">
        <f t="shared" si="35"/>
        <v>0</v>
      </c>
      <c r="AF84" s="1">
        <v>0</v>
      </c>
    </row>
    <row r="85" spans="1:32">
      <c r="A85" s="19">
        <v>1313610920</v>
      </c>
      <c r="B85" s="19" t="str">
        <f t="shared" si="42"/>
        <v>920</v>
      </c>
      <c r="C85" s="19" t="str">
        <f t="shared" si="43"/>
        <v>313610</v>
      </c>
      <c r="D85" s="19" t="s">
        <v>127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>
        <f>-VLOOKUP(A:A,'[1]דוח כספי 31.10'!A:J,9,0)</f>
        <v>294000</v>
      </c>
      <c r="P85" s="20">
        <f>-VLOOKUP(A:A,'[1]דוח כספי 31.10'!A:D,4,0)</f>
        <v>295868.86</v>
      </c>
      <c r="Q85" s="20">
        <v>355000</v>
      </c>
      <c r="R85" s="69"/>
      <c r="S85" s="12"/>
      <c r="T85" s="22"/>
      <c r="AE85" s="23">
        <f t="shared" si="35"/>
        <v>-1868.859999999986</v>
      </c>
      <c r="AF85" s="1">
        <v>-2667000</v>
      </c>
    </row>
    <row r="86" spans="1:32">
      <c r="A86" s="19">
        <v>1313700920</v>
      </c>
      <c r="B86" s="19" t="str">
        <f t="shared" si="42"/>
        <v>920</v>
      </c>
      <c r="C86" s="19" t="str">
        <f t="shared" si="43"/>
        <v>313700</v>
      </c>
      <c r="D86" s="19" t="s">
        <v>128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>
        <f>-VLOOKUP(A:A,'[1]דוח כספי 31.10'!A:J,9,0)</f>
        <v>0</v>
      </c>
      <c r="P86" s="20">
        <f>-VLOOKUP(A:A,'[1]דוח כספי 31.10'!A:D,4,0)</f>
        <v>0</v>
      </c>
      <c r="Q86" s="20">
        <f t="shared" si="41"/>
        <v>0</v>
      </c>
      <c r="R86" s="69"/>
      <c r="S86" s="12"/>
      <c r="T86" s="22"/>
      <c r="AE86" s="23">
        <f t="shared" si="35"/>
        <v>0</v>
      </c>
      <c r="AF86" s="1">
        <v>0</v>
      </c>
    </row>
    <row r="87" spans="1:32">
      <c r="A87" s="19">
        <v>1313800290</v>
      </c>
      <c r="B87" s="19" t="str">
        <f t="shared" si="42"/>
        <v>290</v>
      </c>
      <c r="C87" s="19" t="str">
        <f t="shared" si="43"/>
        <v>313800</v>
      </c>
      <c r="D87" s="19" t="s">
        <v>129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>
        <f>-VLOOKUP(A:A,'[1]דוח כספי 31.10'!A:J,9,0)</f>
        <v>100000</v>
      </c>
      <c r="P87" s="20">
        <f>-VLOOKUP(A:A,'[1]דוח כספי 31.10'!A:D,4,0)</f>
        <v>32400</v>
      </c>
      <c r="Q87" s="20">
        <v>39000</v>
      </c>
      <c r="R87" s="69"/>
      <c r="S87" s="12"/>
      <c r="T87" s="22"/>
      <c r="AE87" s="23">
        <f t="shared" si="35"/>
        <v>67600</v>
      </c>
      <c r="AF87" s="1">
        <v>-70000</v>
      </c>
    </row>
    <row r="88" spans="1:32">
      <c r="A88" s="169"/>
      <c r="B88" s="170"/>
      <c r="C88" s="170"/>
      <c r="D88" s="171" t="s">
        <v>677</v>
      </c>
      <c r="E88" s="172">
        <f t="shared" ref="E88:N88" si="46">SUM(E78:E83)</f>
        <v>951000</v>
      </c>
      <c r="F88" s="172">
        <f t="shared" si="46"/>
        <v>801190.85000000009</v>
      </c>
      <c r="G88" s="172">
        <f t="shared" si="46"/>
        <v>946804.24</v>
      </c>
      <c r="H88" s="172">
        <f t="shared" si="46"/>
        <v>946804.24</v>
      </c>
      <c r="I88" s="172" t="e">
        <f t="shared" si="46"/>
        <v>#REF!</v>
      </c>
      <c r="J88" s="172" t="e">
        <f t="shared" si="46"/>
        <v>#REF!</v>
      </c>
      <c r="K88" s="172">
        <f t="shared" si="46"/>
        <v>927753</v>
      </c>
      <c r="L88" s="172">
        <f t="shared" si="46"/>
        <v>906400</v>
      </c>
      <c r="M88" s="172">
        <f t="shared" si="46"/>
        <v>952700</v>
      </c>
      <c r="N88" s="172" t="e">
        <f t="shared" si="46"/>
        <v>#N/A</v>
      </c>
      <c r="O88" s="172">
        <f>SUM(O78:O87)</f>
        <v>394000</v>
      </c>
      <c r="P88" s="172">
        <f t="shared" ref="P88:Q88" si="47">SUM(P78:P87)</f>
        <v>478714.28</v>
      </c>
      <c r="Q88" s="172">
        <f t="shared" si="47"/>
        <v>575000</v>
      </c>
      <c r="R88" s="173"/>
      <c r="S88" s="12">
        <f t="shared" si="44"/>
        <v>1</v>
      </c>
      <c r="T88" s="22">
        <f t="shared" si="45"/>
        <v>-473985.72</v>
      </c>
      <c r="AE88" s="23">
        <f t="shared" si="35"/>
        <v>-84714.280000000028</v>
      </c>
      <c r="AF88" s="1">
        <v>0</v>
      </c>
    </row>
    <row r="89" spans="1:32">
      <c r="A89" s="19">
        <v>1314000920</v>
      </c>
      <c r="B89" s="19" t="str">
        <f t="shared" ref="B89" si="48">MID(A89,8,3)</f>
        <v>920</v>
      </c>
      <c r="C89" s="19" t="str">
        <f t="shared" ref="C89" si="49">MID(A89,2,6)</f>
        <v>314000</v>
      </c>
      <c r="D89" s="19" t="s">
        <v>133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>
        <f>-VLOOKUP(A:A,'[1]דוח כספי 31.10'!A:J,9,0)</f>
        <v>645000</v>
      </c>
      <c r="P89" s="20">
        <f>-VLOOKUP(A:A,'[1]דוח כספי 31.10'!A:D,4,0)</f>
        <v>547051.29</v>
      </c>
      <c r="Q89" s="20">
        <v>656000</v>
      </c>
      <c r="R89" s="69"/>
      <c r="S89" s="12"/>
      <c r="T89" s="22"/>
      <c r="AE89" s="23">
        <f t="shared" si="35"/>
        <v>97948.709999999963</v>
      </c>
      <c r="AF89" s="1">
        <v>-50000</v>
      </c>
    </row>
    <row r="90" spans="1:32">
      <c r="A90" s="169"/>
      <c r="B90" s="170"/>
      <c r="C90" s="170"/>
      <c r="D90" s="171" t="s">
        <v>678</v>
      </c>
      <c r="E90" s="172"/>
      <c r="F90" s="172"/>
      <c r="G90" s="172"/>
      <c r="H90" s="172"/>
      <c r="I90" s="172"/>
      <c r="J90" s="172"/>
      <c r="K90" s="172"/>
      <c r="L90" s="172"/>
      <c r="M90" s="172"/>
      <c r="N90" s="173"/>
      <c r="O90" s="173">
        <f>SUM(O89)</f>
        <v>645000</v>
      </c>
      <c r="P90" s="173">
        <f t="shared" ref="P90:Q90" si="50">SUM(P89)</f>
        <v>547051.29</v>
      </c>
      <c r="Q90" s="173">
        <f t="shared" si="50"/>
        <v>656000</v>
      </c>
      <c r="R90" s="173"/>
      <c r="S90" s="12"/>
      <c r="T90" s="22"/>
      <c r="AE90" s="23">
        <f t="shared" si="35"/>
        <v>97948.709999999963</v>
      </c>
      <c r="AF90" s="1">
        <v>0</v>
      </c>
    </row>
    <row r="91" spans="1:32">
      <c r="A91" s="19">
        <v>1315100920</v>
      </c>
      <c r="B91" s="19" t="str">
        <f t="shared" si="42"/>
        <v>920</v>
      </c>
      <c r="C91" s="19" t="str">
        <f t="shared" ref="C91:C103" si="51">MID(A91,2,6)</f>
        <v>315100</v>
      </c>
      <c r="D91" s="19" t="s">
        <v>137</v>
      </c>
      <c r="E91" s="20">
        <v>5000</v>
      </c>
      <c r="F91" s="20"/>
      <c r="G91" s="20">
        <f t="shared" ref="G91:G102" si="52">F91*12/10</f>
        <v>0</v>
      </c>
      <c r="H91" s="20">
        <f t="shared" ref="H91:H102" si="53">G91</f>
        <v>0</v>
      </c>
      <c r="I91" s="20">
        <v>0</v>
      </c>
      <c r="J91" s="20">
        <f t="shared" si="29"/>
        <v>0</v>
      </c>
      <c r="K91" s="20">
        <v>0</v>
      </c>
      <c r="L91" s="20"/>
      <c r="M91" s="20"/>
      <c r="N91" s="69"/>
      <c r="O91" s="69">
        <v>438000</v>
      </c>
      <c r="P91" s="181">
        <v>538000</v>
      </c>
      <c r="Q91" s="180">
        <f>538000+106000</f>
        <v>644000</v>
      </c>
      <c r="R91" s="69"/>
      <c r="S91" s="12">
        <f t="shared" si="44"/>
        <v>0</v>
      </c>
      <c r="AE91" s="23">
        <f t="shared" si="35"/>
        <v>-100000</v>
      </c>
      <c r="AF91" s="1">
        <v>0</v>
      </c>
    </row>
    <row r="92" spans="1:32">
      <c r="A92" s="19">
        <v>1315110920</v>
      </c>
      <c r="B92" s="19" t="str">
        <f t="shared" si="42"/>
        <v>920</v>
      </c>
      <c r="C92" s="19" t="str">
        <f t="shared" si="51"/>
        <v>315110</v>
      </c>
      <c r="D92" s="19" t="s">
        <v>138</v>
      </c>
      <c r="E92" s="20">
        <v>5608000</v>
      </c>
      <c r="F92" s="20">
        <f>4190284.83+250000</f>
        <v>4440284.83</v>
      </c>
      <c r="G92" s="20">
        <f t="shared" si="52"/>
        <v>5328341.7960000001</v>
      </c>
      <c r="H92" s="20">
        <f t="shared" si="53"/>
        <v>5328341.7960000001</v>
      </c>
      <c r="I92" s="20" t="e">
        <f>VLOOKUP(A92,#REF!,6,0)</f>
        <v>#REF!</v>
      </c>
      <c r="J92" s="20" t="e">
        <f t="shared" si="29"/>
        <v>#REF!</v>
      </c>
      <c r="K92" s="20">
        <v>5500000</v>
      </c>
      <c r="L92" s="20">
        <v>5800000</v>
      </c>
      <c r="M92" s="20">
        <v>6500000</v>
      </c>
      <c r="N92" s="20">
        <v>4133842.95</v>
      </c>
      <c r="O92" s="20">
        <f>-VLOOKUP(A:A,'[1]דוח כספי 31.10'!A:J,9,0)</f>
        <v>1088000</v>
      </c>
      <c r="P92" s="20">
        <f>-VLOOKUP(A:A,'[1]דוח כספי 31.10'!A:D,4,0)</f>
        <v>1259810.47</v>
      </c>
      <c r="Q92" s="20">
        <v>1512000</v>
      </c>
      <c r="R92" s="69"/>
      <c r="S92" s="12">
        <f t="shared" si="44"/>
        <v>1</v>
      </c>
      <c r="T92" s="22">
        <f t="shared" ref="T92:T177" si="54">+P92-M92</f>
        <v>-5240189.53</v>
      </c>
      <c r="AE92" s="23">
        <f t="shared" si="35"/>
        <v>-171810.46999999997</v>
      </c>
      <c r="AF92" s="1">
        <v>-113000</v>
      </c>
    </row>
    <row r="93" spans="1:32">
      <c r="A93" s="19">
        <v>1315111920</v>
      </c>
      <c r="B93" s="19" t="str">
        <f t="shared" si="42"/>
        <v>920</v>
      </c>
      <c r="C93" s="19" t="str">
        <f t="shared" si="51"/>
        <v>315111</v>
      </c>
      <c r="D93" s="19" t="s">
        <v>140</v>
      </c>
      <c r="E93" s="20"/>
      <c r="F93" s="20">
        <v>3061.04</v>
      </c>
      <c r="G93" s="20">
        <f t="shared" si="52"/>
        <v>3673.2479999999996</v>
      </c>
      <c r="H93" s="20">
        <f t="shared" si="53"/>
        <v>3673.2479999999996</v>
      </c>
      <c r="I93" s="20" t="e">
        <f>VLOOKUP(A93,#REF!,6,0)</f>
        <v>#REF!</v>
      </c>
      <c r="J93" s="20" t="e">
        <f t="shared" si="29"/>
        <v>#REF!</v>
      </c>
      <c r="K93" s="20">
        <v>5000</v>
      </c>
      <c r="L93" s="20">
        <v>4100</v>
      </c>
      <c r="M93" s="20">
        <v>4100</v>
      </c>
      <c r="N93" s="20" t="e">
        <f>VLOOKUP(A93,[1]כספי!$A$1:$E$324,5,0)</f>
        <v>#N/A</v>
      </c>
      <c r="O93" s="20">
        <f>-VLOOKUP(A:A,'[1]דוח כספי 31.10'!A:J,9,0)</f>
        <v>0</v>
      </c>
      <c r="P93" s="20">
        <f>-VLOOKUP(A:A,'[1]דוח כספי 31.10'!A:D,4,0)</f>
        <v>0</v>
      </c>
      <c r="Q93" s="20">
        <f t="shared" ref="Q93:Q103" si="55">P93/10*12</f>
        <v>0</v>
      </c>
      <c r="R93" s="69"/>
      <c r="S93" s="12">
        <f t="shared" si="44"/>
        <v>1</v>
      </c>
      <c r="T93" s="22">
        <f t="shared" si="54"/>
        <v>-4100</v>
      </c>
      <c r="AE93" s="23">
        <f t="shared" si="35"/>
        <v>0</v>
      </c>
      <c r="AF93" s="1">
        <v>0</v>
      </c>
    </row>
    <row r="94" spans="1:32">
      <c r="A94" s="19">
        <v>1315120420</v>
      </c>
      <c r="B94" s="19" t="str">
        <f t="shared" si="42"/>
        <v>420</v>
      </c>
      <c r="C94" s="19" t="str">
        <f t="shared" si="51"/>
        <v>315120</v>
      </c>
      <c r="D94" s="19" t="s">
        <v>141</v>
      </c>
      <c r="E94" s="20">
        <v>19000</v>
      </c>
      <c r="F94" s="20">
        <v>16677.740000000002</v>
      </c>
      <c r="G94" s="20">
        <f t="shared" si="52"/>
        <v>20013.288</v>
      </c>
      <c r="H94" s="20">
        <f t="shared" si="53"/>
        <v>20013.288</v>
      </c>
      <c r="I94" s="20" t="e">
        <f>VLOOKUP(A94,#REF!,6,0)</f>
        <v>#REF!</v>
      </c>
      <c r="J94" s="20" t="e">
        <f t="shared" si="29"/>
        <v>#REF!</v>
      </c>
      <c r="K94" s="20">
        <v>20000</v>
      </c>
      <c r="L94" s="20">
        <v>18900</v>
      </c>
      <c r="M94" s="20">
        <v>20000</v>
      </c>
      <c r="N94" s="20" t="e">
        <f>VLOOKUP(A94,[1]כספי!$A$1:$E$324,5,0)</f>
        <v>#N/A</v>
      </c>
      <c r="O94" s="20">
        <f>-VLOOKUP(A:A,'[1]דוח כספי 31.10'!A:J,9,0)</f>
        <v>14000</v>
      </c>
      <c r="P94" s="20">
        <f>-VLOOKUP(A:A,'[1]דוח כספי 31.10'!A:D,4,0)</f>
        <v>0</v>
      </c>
      <c r="Q94" s="20">
        <f t="shared" si="55"/>
        <v>0</v>
      </c>
      <c r="R94" s="69"/>
      <c r="S94" s="12">
        <f t="shared" si="44"/>
        <v>1</v>
      </c>
      <c r="T94" s="22">
        <f t="shared" si="54"/>
        <v>-20000</v>
      </c>
      <c r="AE94" s="23">
        <f t="shared" si="35"/>
        <v>14000</v>
      </c>
      <c r="AF94" s="1">
        <v>-1610000</v>
      </c>
    </row>
    <row r="95" spans="1:32">
      <c r="A95" s="19">
        <v>1315120920</v>
      </c>
      <c r="B95" s="19" t="str">
        <f t="shared" si="42"/>
        <v>920</v>
      </c>
      <c r="C95" s="19" t="str">
        <f t="shared" si="51"/>
        <v>315120</v>
      </c>
      <c r="D95" s="19" t="s">
        <v>142</v>
      </c>
      <c r="E95" s="20">
        <v>280000</v>
      </c>
      <c r="F95" s="20">
        <v>224129.89</v>
      </c>
      <c r="G95" s="20">
        <f t="shared" si="52"/>
        <v>268955.86800000002</v>
      </c>
      <c r="H95" s="20">
        <f t="shared" si="53"/>
        <v>268955.86800000002</v>
      </c>
      <c r="I95" s="20" t="e">
        <f>VLOOKUP(A95,#REF!,6,0)</f>
        <v>#REF!</v>
      </c>
      <c r="J95" s="20" t="e">
        <f t="shared" si="29"/>
        <v>#REF!</v>
      </c>
      <c r="K95" s="20">
        <v>275000</v>
      </c>
      <c r="L95" s="20">
        <v>280000</v>
      </c>
      <c r="M95" s="20">
        <f>280000+27000</f>
        <v>307000</v>
      </c>
      <c r="N95" s="20" t="e">
        <f>VLOOKUP(A95,[1]כספי!$A$1:$E$324,5,0)</f>
        <v>#N/A</v>
      </c>
      <c r="O95" s="20">
        <f>-VLOOKUP(A:A,'[1]דוח כספי 31.10'!A:J,9,0)</f>
        <v>7000</v>
      </c>
      <c r="P95" s="20">
        <f>-VLOOKUP(A:A,'[1]דוח כספי 31.10'!A:D,4,0)</f>
        <v>5126.6400000000003</v>
      </c>
      <c r="Q95" s="20">
        <v>6000</v>
      </c>
      <c r="R95" s="69"/>
      <c r="S95" s="12">
        <f t="shared" si="44"/>
        <v>1</v>
      </c>
      <c r="T95" s="22">
        <f t="shared" si="54"/>
        <v>-301873.36</v>
      </c>
      <c r="AE95" s="23">
        <f t="shared" si="35"/>
        <v>1873.3599999999997</v>
      </c>
      <c r="AF95" s="1">
        <v>-250000</v>
      </c>
    </row>
    <row r="96" spans="1:32">
      <c r="A96" s="19">
        <v>1315130920</v>
      </c>
      <c r="B96" s="19" t="str">
        <f t="shared" si="42"/>
        <v>920</v>
      </c>
      <c r="C96" s="19" t="str">
        <f t="shared" si="51"/>
        <v>315130</v>
      </c>
      <c r="D96" s="19" t="s">
        <v>143</v>
      </c>
      <c r="E96" s="20">
        <v>3000</v>
      </c>
      <c r="F96" s="20">
        <v>16375.16</v>
      </c>
      <c r="G96" s="20">
        <f t="shared" si="52"/>
        <v>19650.191999999999</v>
      </c>
      <c r="H96" s="20">
        <f t="shared" si="53"/>
        <v>19650.191999999999</v>
      </c>
      <c r="I96" s="20" t="e">
        <f>VLOOKUP(A96,#REF!,6,0)</f>
        <v>#REF!</v>
      </c>
      <c r="J96" s="20" t="e">
        <f t="shared" si="29"/>
        <v>#REF!</v>
      </c>
      <c r="K96" s="20">
        <v>25000</v>
      </c>
      <c r="L96" s="20">
        <v>27500</v>
      </c>
      <c r="M96" s="20">
        <v>27500</v>
      </c>
      <c r="N96" s="20" t="e">
        <f>VLOOKUP(A96,[1]כספי!$A$1:$E$324,5,0)</f>
        <v>#N/A</v>
      </c>
      <c r="O96" s="20">
        <f>-VLOOKUP(A:A,'[1]דוח כספי 31.10'!A:J,9,0)</f>
        <v>19000</v>
      </c>
      <c r="P96" s="20">
        <f>-VLOOKUP(A:A,'[1]דוח כספי 31.10'!A:D,4,0)</f>
        <v>16701.599999999999</v>
      </c>
      <c r="Q96" s="20">
        <v>20000</v>
      </c>
      <c r="R96" s="69"/>
      <c r="S96" s="12">
        <f t="shared" si="44"/>
        <v>1</v>
      </c>
      <c r="T96" s="22">
        <f t="shared" si="54"/>
        <v>-10798.400000000001</v>
      </c>
      <c r="AE96" s="23">
        <f t="shared" si="35"/>
        <v>2298.4000000000015</v>
      </c>
      <c r="AF96" s="1">
        <v>0</v>
      </c>
    </row>
    <row r="97" spans="1:32">
      <c r="A97" s="19">
        <v>1315140920</v>
      </c>
      <c r="B97" s="19" t="str">
        <f t="shared" si="42"/>
        <v>920</v>
      </c>
      <c r="C97" s="19" t="str">
        <f t="shared" si="51"/>
        <v>315140</v>
      </c>
      <c r="D97" s="19" t="s">
        <v>144</v>
      </c>
      <c r="E97" s="20">
        <v>320000</v>
      </c>
      <c r="F97" s="20">
        <v>238845.65</v>
      </c>
      <c r="G97" s="20">
        <f t="shared" si="52"/>
        <v>286614.77999999997</v>
      </c>
      <c r="H97" s="20">
        <f t="shared" si="53"/>
        <v>286614.77999999997</v>
      </c>
      <c r="I97" s="20" t="e">
        <f>VLOOKUP(A97,#REF!,6,0)</f>
        <v>#REF!</v>
      </c>
      <c r="J97" s="20">
        <v>237510</v>
      </c>
      <c r="K97" s="20">
        <v>237510</v>
      </c>
      <c r="L97" s="20">
        <v>24200</v>
      </c>
      <c r="M97" s="20">
        <v>240200</v>
      </c>
      <c r="N97" s="20" t="e">
        <f>VLOOKUP(A97,[1]כספי!$A$1:$E$324,5,0)</f>
        <v>#N/A</v>
      </c>
      <c r="O97" s="20">
        <f>-VLOOKUP(A:A,'[1]דוח כספי 31.10'!A:J,9,0)</f>
        <v>3000</v>
      </c>
      <c r="P97" s="20">
        <f>-VLOOKUP(A:A,'[1]דוח כספי 31.10'!A:D,4,0)</f>
        <v>3256.8</v>
      </c>
      <c r="Q97" s="20">
        <v>4000</v>
      </c>
      <c r="R97" s="69"/>
      <c r="S97" s="12">
        <f t="shared" si="44"/>
        <v>1</v>
      </c>
      <c r="T97" s="22">
        <f t="shared" si="54"/>
        <v>-236943.2</v>
      </c>
      <c r="AE97" s="23">
        <f t="shared" si="35"/>
        <v>-256.80000000000018</v>
      </c>
      <c r="AF97" s="1">
        <v>-583000</v>
      </c>
    </row>
    <row r="98" spans="1:32">
      <c r="A98" s="19">
        <v>1315150920</v>
      </c>
      <c r="B98" s="19" t="str">
        <f t="shared" si="42"/>
        <v>920</v>
      </c>
      <c r="C98" s="19" t="str">
        <f t="shared" si="51"/>
        <v>315150</v>
      </c>
      <c r="D98" s="19" t="s">
        <v>679</v>
      </c>
      <c r="E98" s="20">
        <v>40000</v>
      </c>
      <c r="F98" s="20">
        <v>6257.86</v>
      </c>
      <c r="G98" s="20">
        <f t="shared" si="52"/>
        <v>7509.4319999999989</v>
      </c>
      <c r="H98" s="20">
        <f t="shared" si="53"/>
        <v>7509.4319999999989</v>
      </c>
      <c r="I98" s="20" t="e">
        <f>VLOOKUP(A98,#REF!,6,0)</f>
        <v>#REF!</v>
      </c>
      <c r="J98" s="20" t="e">
        <f t="shared" si="29"/>
        <v>#REF!</v>
      </c>
      <c r="K98" s="20">
        <v>0</v>
      </c>
      <c r="L98" s="20">
        <v>361700</v>
      </c>
      <c r="M98" s="20">
        <v>361700</v>
      </c>
      <c r="N98" s="20" t="e">
        <f>VLOOKUP(A98,[1]כספי!$A$1:$E$324,5,0)</f>
        <v>#N/A</v>
      </c>
      <c r="O98" s="20">
        <f>-VLOOKUP(A:A,'[1]דוח כספי 31.10'!A:J,9,0)</f>
        <v>485000</v>
      </c>
      <c r="P98" s="20">
        <f>-VLOOKUP(A:A,'[1]דוח כספי 31.10'!A:D,4,0)</f>
        <v>196881.88</v>
      </c>
      <c r="Q98" s="20">
        <v>236000</v>
      </c>
      <c r="R98" s="69"/>
      <c r="S98" s="12">
        <f t="shared" si="44"/>
        <v>1</v>
      </c>
      <c r="T98" s="22">
        <f t="shared" si="54"/>
        <v>-164818.12</v>
      </c>
      <c r="AE98" s="23">
        <f t="shared" si="35"/>
        <v>288118.12</v>
      </c>
      <c r="AF98" s="1">
        <v>-181000</v>
      </c>
    </row>
    <row r="99" spans="1:32">
      <c r="A99" s="19">
        <v>1315160920</v>
      </c>
      <c r="B99" s="19" t="str">
        <f t="shared" si="42"/>
        <v>920</v>
      </c>
      <c r="C99" s="19" t="str">
        <f t="shared" si="51"/>
        <v>315160</v>
      </c>
      <c r="D99" s="19" t="s">
        <v>147</v>
      </c>
      <c r="E99" s="20">
        <v>1050000</v>
      </c>
      <c r="F99" s="20">
        <v>1138070.1399999999</v>
      </c>
      <c r="G99" s="20">
        <f t="shared" si="52"/>
        <v>1365684.1680000001</v>
      </c>
      <c r="H99" s="20">
        <f t="shared" si="53"/>
        <v>1365684.1680000001</v>
      </c>
      <c r="I99" s="20" t="e">
        <f>VLOOKUP(A99,#REF!,6,0)</f>
        <v>#REF!</v>
      </c>
      <c r="J99" s="20" t="e">
        <f t="shared" si="29"/>
        <v>#REF!</v>
      </c>
      <c r="K99" s="20">
        <v>1400000</v>
      </c>
      <c r="L99" s="20">
        <v>1370000</v>
      </c>
      <c r="M99" s="20">
        <v>1405000</v>
      </c>
      <c r="N99" s="20" t="e">
        <f>VLOOKUP(A99,[1]כספי!$A$1:$E$324,5,0)</f>
        <v>#N/A</v>
      </c>
      <c r="O99" s="20">
        <f>-VLOOKUP(A:A,'[1]דוח כספי 31.10'!A:J,9,0)</f>
        <v>0</v>
      </c>
      <c r="P99" s="20">
        <f>-VLOOKUP(A:A,'[1]דוח כספי 31.10'!A:D,4,0)</f>
        <v>0</v>
      </c>
      <c r="Q99" s="20">
        <f t="shared" si="55"/>
        <v>0</v>
      </c>
      <c r="R99" s="69"/>
      <c r="S99" s="12">
        <f t="shared" si="44"/>
        <v>1</v>
      </c>
      <c r="T99" s="22">
        <f t="shared" si="54"/>
        <v>-1405000</v>
      </c>
      <c r="AE99" s="23">
        <f t="shared" si="35"/>
        <v>0</v>
      </c>
      <c r="AF99" s="1">
        <v>-30000</v>
      </c>
    </row>
    <row r="100" spans="1:32">
      <c r="A100" s="19">
        <v>1315170920</v>
      </c>
      <c r="B100" s="19" t="str">
        <f t="shared" si="42"/>
        <v>920</v>
      </c>
      <c r="C100" s="19" t="str">
        <f t="shared" si="51"/>
        <v>315170</v>
      </c>
      <c r="D100" s="19" t="s">
        <v>148</v>
      </c>
      <c r="E100" s="20">
        <v>27000</v>
      </c>
      <c r="F100" s="20">
        <v>61580.08</v>
      </c>
      <c r="G100" s="20">
        <f t="shared" si="52"/>
        <v>73896.09599999999</v>
      </c>
      <c r="H100" s="20">
        <f t="shared" si="53"/>
        <v>73896.09599999999</v>
      </c>
      <c r="I100" s="20" t="e">
        <f>VLOOKUP(A100,#REF!,6,0)</f>
        <v>#REF!</v>
      </c>
      <c r="J100" s="20" t="e">
        <f t="shared" si="29"/>
        <v>#REF!</v>
      </c>
      <c r="K100" s="20">
        <v>40000</v>
      </c>
      <c r="L100" s="20">
        <v>27500</v>
      </c>
      <c r="M100" s="20">
        <v>40000</v>
      </c>
      <c r="N100" s="20" t="e">
        <f>VLOOKUP(A100,[1]כספי!$A$1:$E$324,5,0)</f>
        <v>#N/A</v>
      </c>
      <c r="O100" s="20">
        <f>-VLOOKUP(A:A,'[1]דוח כספי 31.10'!A:J,9,0)</f>
        <v>2667000</v>
      </c>
      <c r="P100" s="20">
        <f>-VLOOKUP(A:A,'[1]דוח כספי 31.10'!A:D,4,0)</f>
        <v>2604420.58</v>
      </c>
      <c r="Q100" s="20">
        <f>2604000+380000</f>
        <v>2984000</v>
      </c>
      <c r="R100" s="69"/>
      <c r="S100" s="12">
        <f t="shared" si="44"/>
        <v>1</v>
      </c>
      <c r="T100" s="22">
        <f t="shared" si="54"/>
        <v>2564420.58</v>
      </c>
      <c r="AE100" s="23">
        <f t="shared" si="35"/>
        <v>62579.419999999925</v>
      </c>
      <c r="AF100" s="1">
        <v>0</v>
      </c>
    </row>
    <row r="101" spans="1:32">
      <c r="A101" s="19">
        <v>1315171920</v>
      </c>
      <c r="B101" s="19" t="str">
        <f t="shared" si="42"/>
        <v>920</v>
      </c>
      <c r="C101" s="19" t="str">
        <f t="shared" si="51"/>
        <v>315171</v>
      </c>
      <c r="D101" s="19" t="s">
        <v>150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 t="e">
        <f>VLOOKUP(A101,[1]כספי!$A$1:$E$324,5,0)</f>
        <v>#N/A</v>
      </c>
      <c r="O101" s="20">
        <f>-VLOOKUP(A:A,'[1]דוח כספי 31.10'!A:J,9,0)</f>
        <v>0</v>
      </c>
      <c r="P101" s="20">
        <f>1400000+366000</f>
        <v>1766000</v>
      </c>
      <c r="Q101" s="20">
        <v>2119000</v>
      </c>
      <c r="R101" s="69"/>
      <c r="S101" s="12"/>
      <c r="T101" s="22">
        <f t="shared" si="54"/>
        <v>1766000</v>
      </c>
      <c r="AE101" s="23">
        <f t="shared" si="35"/>
        <v>-1766000</v>
      </c>
      <c r="AF101" s="1">
        <v>-8000</v>
      </c>
    </row>
    <row r="102" spans="1:32">
      <c r="A102" s="19">
        <v>1315180740</v>
      </c>
      <c r="B102" s="19" t="str">
        <f t="shared" si="42"/>
        <v>740</v>
      </c>
      <c r="C102" s="19" t="str">
        <f t="shared" si="51"/>
        <v>315180</v>
      </c>
      <c r="D102" s="19" t="s">
        <v>152</v>
      </c>
      <c r="E102" s="20">
        <v>60000</v>
      </c>
      <c r="F102" s="20">
        <v>41314.89</v>
      </c>
      <c r="G102" s="20">
        <f t="shared" si="52"/>
        <v>49577.868000000002</v>
      </c>
      <c r="H102" s="20">
        <f t="shared" si="53"/>
        <v>49577.868000000002</v>
      </c>
      <c r="I102" s="20" t="e">
        <f>VLOOKUP(A102,#REF!,6,0)</f>
        <v>#REF!</v>
      </c>
      <c r="J102" s="20" t="e">
        <f t="shared" si="29"/>
        <v>#REF!</v>
      </c>
      <c r="K102" s="20">
        <v>60000</v>
      </c>
      <c r="L102" s="20">
        <v>48700</v>
      </c>
      <c r="M102" s="20">
        <v>50000</v>
      </c>
      <c r="N102" s="20" t="e">
        <f>VLOOKUP(A102,[1]כספי!$A$1:$E$324,5,0)</f>
        <v>#N/A</v>
      </c>
      <c r="O102" s="20">
        <f>-VLOOKUP(A:A,'[1]דוח כספי 31.10'!A:J,9,0)</f>
        <v>70000</v>
      </c>
      <c r="P102" s="20">
        <f>-VLOOKUP(A:A,'[1]דוח כספי 31.10'!A:D,4,0)</f>
        <v>0</v>
      </c>
      <c r="Q102" s="20">
        <f t="shared" si="55"/>
        <v>0</v>
      </c>
      <c r="R102" s="69"/>
      <c r="S102" s="12">
        <f>IF(ISBLANK(A102),1,--OR(K102&gt;1,L102&gt;1,M102&gt;1))</f>
        <v>1</v>
      </c>
      <c r="T102" s="22">
        <f t="shared" si="54"/>
        <v>-50000</v>
      </c>
      <c r="AE102" s="23">
        <f t="shared" si="35"/>
        <v>70000</v>
      </c>
      <c r="AF102" s="1">
        <v>-1000</v>
      </c>
    </row>
    <row r="103" spans="1:32">
      <c r="A103" s="19">
        <v>1315200920</v>
      </c>
      <c r="B103" s="19" t="str">
        <f t="shared" si="42"/>
        <v>920</v>
      </c>
      <c r="C103" s="19" t="str">
        <f t="shared" si="51"/>
        <v>315200</v>
      </c>
      <c r="D103" s="19" t="s">
        <v>154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>
        <f>VLOOKUP(A103,[1]כספי!$A$1:$E$324,5,0)</f>
        <v>4927822.71</v>
      </c>
      <c r="O103" s="20">
        <f>-VLOOKUP(A:A,'[1]דוח כספי 31.10'!A:J,9,0)</f>
        <v>0</v>
      </c>
      <c r="P103" s="20">
        <f>-VLOOKUP(A:A,'[1]דוח כספי 31.10'!A:D,4,0)</f>
        <v>0</v>
      </c>
      <c r="Q103" s="20">
        <f t="shared" si="55"/>
        <v>0</v>
      </c>
      <c r="R103" s="69"/>
      <c r="S103" s="12"/>
      <c r="T103" s="22">
        <f t="shared" si="54"/>
        <v>0</v>
      </c>
      <c r="AE103" s="23">
        <f t="shared" si="35"/>
        <v>0</v>
      </c>
      <c r="AF103" s="1">
        <v>0</v>
      </c>
    </row>
    <row r="104" spans="1:32">
      <c r="A104" s="169"/>
      <c r="B104" s="182"/>
      <c r="C104" s="182"/>
      <c r="D104" s="183" t="s">
        <v>534</v>
      </c>
      <c r="E104" s="184">
        <f t="shared" ref="E104:Q104" si="56">SUM(E91:E103)</f>
        <v>7412000</v>
      </c>
      <c r="F104" s="184">
        <f t="shared" si="56"/>
        <v>6186597.2800000003</v>
      </c>
      <c r="G104" s="184">
        <f t="shared" si="56"/>
        <v>7423916.7359999996</v>
      </c>
      <c r="H104" s="184">
        <f t="shared" si="56"/>
        <v>7423916.7359999996</v>
      </c>
      <c r="I104" s="184" t="e">
        <f t="shared" si="56"/>
        <v>#REF!</v>
      </c>
      <c r="J104" s="184" t="e">
        <f t="shared" si="56"/>
        <v>#REF!</v>
      </c>
      <c r="K104" s="184">
        <f t="shared" si="56"/>
        <v>7562510</v>
      </c>
      <c r="L104" s="184">
        <f t="shared" si="56"/>
        <v>7962600</v>
      </c>
      <c r="M104" s="184">
        <f t="shared" si="56"/>
        <v>8955500</v>
      </c>
      <c r="N104" s="184" t="e">
        <f t="shared" si="56"/>
        <v>#N/A</v>
      </c>
      <c r="O104" s="184">
        <f t="shared" si="56"/>
        <v>4791000</v>
      </c>
      <c r="P104" s="184">
        <f t="shared" si="56"/>
        <v>6390197.9700000007</v>
      </c>
      <c r="Q104" s="184">
        <f t="shared" si="56"/>
        <v>7525000</v>
      </c>
      <c r="R104" s="185"/>
      <c r="S104" s="12">
        <f>IF(ISBLANK(A104),1,--OR(K104&gt;1,L104&gt;1,M104&gt;1))</f>
        <v>1</v>
      </c>
      <c r="T104" s="22">
        <f t="shared" si="54"/>
        <v>-2565302.0299999993</v>
      </c>
      <c r="AE104" s="23">
        <f t="shared" si="35"/>
        <v>-1599197.9700000007</v>
      </c>
      <c r="AF104" s="1">
        <v>-152000</v>
      </c>
    </row>
    <row r="105" spans="1:32">
      <c r="A105" s="19">
        <v>1317100920</v>
      </c>
      <c r="B105" s="19" t="str">
        <f t="shared" si="42"/>
        <v>920</v>
      </c>
      <c r="C105" s="19" t="str">
        <f t="shared" ref="C105:C159" si="57">MID(A105,2,6)</f>
        <v>317100</v>
      </c>
      <c r="D105" s="19" t="s">
        <v>185</v>
      </c>
      <c r="E105" s="20">
        <v>287000</v>
      </c>
      <c r="F105" s="20">
        <v>239367.16</v>
      </c>
      <c r="G105" s="20">
        <f t="shared" ref="G105:G108" si="58">F105*12/10</f>
        <v>287240.592</v>
      </c>
      <c r="H105" s="20">
        <f t="shared" ref="H105:H106" si="59">G105</f>
        <v>287240.592</v>
      </c>
      <c r="I105" s="20" t="e">
        <f>VLOOKUP(A105,#REF!,6,0)</f>
        <v>#REF!</v>
      </c>
      <c r="J105" s="20" t="e">
        <f t="shared" si="29"/>
        <v>#REF!</v>
      </c>
      <c r="K105" s="20">
        <v>290000</v>
      </c>
      <c r="L105" s="20">
        <v>290500</v>
      </c>
      <c r="M105" s="20">
        <v>290500</v>
      </c>
      <c r="N105" s="20" t="e">
        <f>VLOOKUP(A105,[1]כספי!$A$1:$E$324,5,0)</f>
        <v>#N/A</v>
      </c>
      <c r="O105" s="20">
        <f>-VLOOKUP(A:A,'[1]דוח כספי 31.10'!A:J,9,0)</f>
        <v>50000</v>
      </c>
      <c r="P105" s="20">
        <v>42000</v>
      </c>
      <c r="Q105" s="20">
        <v>50000</v>
      </c>
      <c r="R105" s="69"/>
      <c r="S105" s="12">
        <f>IF(ISBLANK(A105),1,--OR(K105&gt;1,L105&gt;1,M105&gt;1))</f>
        <v>1</v>
      </c>
      <c r="T105" s="22">
        <f t="shared" si="54"/>
        <v>-248500</v>
      </c>
      <c r="AE105" s="23">
        <f t="shared" si="35"/>
        <v>8000</v>
      </c>
      <c r="AF105" s="1">
        <v>0</v>
      </c>
    </row>
    <row r="106" spans="1:32">
      <c r="A106" s="19">
        <v>1317200920</v>
      </c>
      <c r="B106" s="19" t="str">
        <f t="shared" si="42"/>
        <v>920</v>
      </c>
      <c r="C106" s="19" t="str">
        <f t="shared" si="57"/>
        <v>317200</v>
      </c>
      <c r="D106" s="19" t="s">
        <v>187</v>
      </c>
      <c r="E106" s="20">
        <v>127000</v>
      </c>
      <c r="F106" s="20">
        <v>105052.12</v>
      </c>
      <c r="G106" s="20">
        <f t="shared" si="58"/>
        <v>126062.54399999999</v>
      </c>
      <c r="H106" s="20">
        <f t="shared" si="59"/>
        <v>126062.54399999999</v>
      </c>
      <c r="I106" s="20" t="e">
        <f>VLOOKUP(A106,#REF!,6,0)</f>
        <v>#REF!</v>
      </c>
      <c r="J106" s="20" t="e">
        <f t="shared" si="29"/>
        <v>#REF!</v>
      </c>
      <c r="K106" s="20">
        <v>126000</v>
      </c>
      <c r="L106" s="20">
        <v>128000</v>
      </c>
      <c r="M106" s="20">
        <v>128000</v>
      </c>
      <c r="N106" s="20" t="e">
        <f>VLOOKUP(A106,[1]כספי!$A$1:$E$324,5,0)</f>
        <v>#N/A</v>
      </c>
      <c r="O106" s="20">
        <f>-VLOOKUP(A:A,'[1]דוח כספי 31.10'!A:J,9,0)</f>
        <v>0</v>
      </c>
      <c r="P106" s="20">
        <f>-VLOOKUP(A:A,'[1]דוח כספי 31.10'!A:D,4,0)</f>
        <v>0</v>
      </c>
      <c r="Q106" s="20">
        <f t="shared" ref="Q106:Q159" si="60">P106/10*12</f>
        <v>0</v>
      </c>
      <c r="R106" s="69"/>
      <c r="S106" s="12">
        <f>IF(ISBLANK(A106),1,--OR(K106&gt;1,L106&gt;1,M106&gt;1))</f>
        <v>1</v>
      </c>
      <c r="T106" s="22">
        <f t="shared" si="54"/>
        <v>-128000</v>
      </c>
      <c r="AE106" s="23">
        <f t="shared" si="35"/>
        <v>0</v>
      </c>
      <c r="AF106" s="1">
        <v>0</v>
      </c>
    </row>
    <row r="107" spans="1:32">
      <c r="A107" s="19">
        <v>1317300920</v>
      </c>
      <c r="B107" s="19" t="str">
        <f t="shared" si="42"/>
        <v>920</v>
      </c>
      <c r="C107" s="19" t="str">
        <f t="shared" si="57"/>
        <v>317300</v>
      </c>
      <c r="D107" s="19" t="s">
        <v>188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>
        <f>VLOOKUP(A107,[1]כספי!$A$1:$E$324,5,0)</f>
        <v>202673.78</v>
      </c>
      <c r="O107" s="20">
        <f>-VLOOKUP(A:A,'[1]דוח כספי 31.10'!A:J,9,0)</f>
        <v>0</v>
      </c>
      <c r="P107" s="20">
        <f>-VLOOKUP(A:A,'[1]דוח כספי 31.10'!A:D,4,0)</f>
        <v>0</v>
      </c>
      <c r="Q107" s="20">
        <f t="shared" si="60"/>
        <v>0</v>
      </c>
      <c r="R107" s="69"/>
      <c r="S107" s="12"/>
      <c r="T107" s="22">
        <f t="shared" si="54"/>
        <v>0</v>
      </c>
      <c r="AE107" s="23">
        <f t="shared" si="35"/>
        <v>0</v>
      </c>
      <c r="AF107" s="1">
        <v>-203000</v>
      </c>
    </row>
    <row r="108" spans="1:32">
      <c r="A108" s="19">
        <v>1317400920</v>
      </c>
      <c r="B108" s="19" t="str">
        <f t="shared" si="42"/>
        <v>920</v>
      </c>
      <c r="C108" s="19" t="str">
        <f t="shared" si="57"/>
        <v>317400</v>
      </c>
      <c r="D108" s="19" t="s">
        <v>191</v>
      </c>
      <c r="E108" s="20">
        <v>121000</v>
      </c>
      <c r="F108" s="20">
        <v>535505.31999999995</v>
      </c>
      <c r="G108" s="20">
        <f t="shared" si="58"/>
        <v>642606.38399999996</v>
      </c>
      <c r="H108" s="20">
        <v>600000</v>
      </c>
      <c r="I108" s="20" t="e">
        <f>VLOOKUP(A108,#REF!,6,0)</f>
        <v>#REF!</v>
      </c>
      <c r="J108" s="20" t="e">
        <f t="shared" ref="J108" si="61">+I108*1.71428571428571</f>
        <v>#REF!</v>
      </c>
      <c r="K108" s="20">
        <v>600000</v>
      </c>
      <c r="L108" s="20">
        <v>470000</v>
      </c>
      <c r="M108" s="20">
        <v>500000</v>
      </c>
      <c r="N108" s="20" t="e">
        <f>VLOOKUP(A108,[1]כספי!$A$1:$E$324,5,0)</f>
        <v>#N/A</v>
      </c>
      <c r="O108" s="20">
        <f>-VLOOKUP(A:A,'[1]דוח כספי 31.10'!A:J,9,0)</f>
        <v>113000</v>
      </c>
      <c r="P108" s="20">
        <f>-VLOOKUP(A:A,'[1]דוח כספי 31.10'!A:D,4,0)</f>
        <v>29564.38</v>
      </c>
      <c r="Q108" s="20">
        <v>36000</v>
      </c>
      <c r="R108" s="69"/>
      <c r="S108" s="12">
        <f>IF(ISBLANK(A108),1,--OR(K108&gt;1,L108&gt;1,M108&gt;1))</f>
        <v>1</v>
      </c>
      <c r="T108" s="22">
        <f t="shared" si="54"/>
        <v>-470435.62</v>
      </c>
      <c r="AE108" s="23">
        <f t="shared" si="35"/>
        <v>83435.62</v>
      </c>
      <c r="AF108" s="1">
        <v>-55000</v>
      </c>
    </row>
    <row r="109" spans="1:32">
      <c r="A109" s="19">
        <v>1317500220</v>
      </c>
      <c r="B109" s="19" t="str">
        <f t="shared" si="42"/>
        <v>220</v>
      </c>
      <c r="C109" s="19" t="str">
        <f t="shared" si="57"/>
        <v>317500</v>
      </c>
      <c r="D109" s="19" t="s">
        <v>192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>
        <f>-VLOOKUP(A:A,'[1]דוח כספי 31.10'!A:J,9,0)</f>
        <v>0</v>
      </c>
      <c r="P109" s="20">
        <f>-VLOOKUP(A:A,'[1]דוח כספי 31.10'!A:D,4,0)</f>
        <v>0</v>
      </c>
      <c r="Q109" s="20">
        <f t="shared" si="60"/>
        <v>0</v>
      </c>
      <c r="R109" s="69"/>
      <c r="S109" s="12"/>
      <c r="T109" s="22"/>
      <c r="AE109" s="23">
        <f t="shared" si="35"/>
        <v>0</v>
      </c>
      <c r="AF109" s="1">
        <v>-28000</v>
      </c>
    </row>
    <row r="110" spans="1:32">
      <c r="A110" s="19">
        <v>1317500920</v>
      </c>
      <c r="B110" s="19" t="str">
        <f t="shared" si="42"/>
        <v>920</v>
      </c>
      <c r="C110" s="19" t="str">
        <f t="shared" si="57"/>
        <v>317500</v>
      </c>
      <c r="D110" s="19" t="s">
        <v>193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>
        <f>-VLOOKUP(A:A,'[1]דוח כספי 31.10'!A:J,9,0)</f>
        <v>1610000</v>
      </c>
      <c r="P110" s="20">
        <f>-VLOOKUP(A:A,'[1]דוח כספי 31.10'!A:D,4,0)</f>
        <v>1383033.06</v>
      </c>
      <c r="Q110" s="20">
        <v>1660000</v>
      </c>
      <c r="R110" s="69"/>
      <c r="S110" s="12"/>
      <c r="T110" s="22"/>
      <c r="AE110" s="23">
        <f t="shared" si="35"/>
        <v>226966.93999999994</v>
      </c>
      <c r="AF110" s="1">
        <v>-60000</v>
      </c>
    </row>
    <row r="111" spans="1:32">
      <c r="A111" s="19">
        <v>1317510920</v>
      </c>
      <c r="B111" s="19" t="str">
        <f t="shared" si="42"/>
        <v>920</v>
      </c>
      <c r="C111" s="19" t="str">
        <f t="shared" si="57"/>
        <v>317510</v>
      </c>
      <c r="D111" s="19" t="s">
        <v>153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>
        <f>-VLOOKUP(A:A,'[1]דוח כספי 31.10'!A:J,9,0)</f>
        <v>250000</v>
      </c>
      <c r="P111" s="20">
        <f>-VLOOKUP(A:A,'[1]דוח כספי 31.10'!A:D,4,0)</f>
        <v>192273.34</v>
      </c>
      <c r="Q111" s="20">
        <v>231000</v>
      </c>
      <c r="R111" s="69"/>
      <c r="S111" s="12"/>
      <c r="T111" s="22"/>
      <c r="AE111" s="23">
        <f t="shared" si="35"/>
        <v>57726.66</v>
      </c>
      <c r="AF111" s="1">
        <v>-9000</v>
      </c>
    </row>
    <row r="112" spans="1:32">
      <c r="A112" s="19">
        <v>1317520920</v>
      </c>
      <c r="B112" s="19" t="str">
        <f t="shared" si="42"/>
        <v>920</v>
      </c>
      <c r="C112" s="19" t="str">
        <f t="shared" si="57"/>
        <v>317520</v>
      </c>
      <c r="D112" s="19" t="s">
        <v>195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>
        <f>-VLOOKUP(A:A,'[1]דוח כספי 31.10'!A:J,9,0)</f>
        <v>0</v>
      </c>
      <c r="P112" s="20">
        <f>-VLOOKUP(A:A,'[1]דוח כספי 31.10'!A:D,4,0)</f>
        <v>0</v>
      </c>
      <c r="Q112" s="20">
        <f t="shared" si="60"/>
        <v>0</v>
      </c>
      <c r="R112" s="69"/>
      <c r="S112" s="12"/>
      <c r="T112" s="22"/>
      <c r="AE112" s="23">
        <f t="shared" si="35"/>
        <v>0</v>
      </c>
      <c r="AF112" s="1">
        <v>-57000</v>
      </c>
    </row>
    <row r="113" spans="1:32">
      <c r="A113" s="19">
        <v>1317530920</v>
      </c>
      <c r="B113" s="19" t="str">
        <f t="shared" si="42"/>
        <v>920</v>
      </c>
      <c r="C113" s="19" t="str">
        <f t="shared" si="57"/>
        <v>317530</v>
      </c>
      <c r="D113" s="19" t="s">
        <v>196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>
        <f>-VLOOKUP(A:A,'[1]דוח כספי 31.10'!A:J,9,0)</f>
        <v>583000</v>
      </c>
      <c r="P113" s="20">
        <f>-VLOOKUP(A:A,'[1]דוח כספי 31.10'!A:D,4,0)</f>
        <v>475235.83</v>
      </c>
      <c r="Q113" s="20">
        <v>570000</v>
      </c>
      <c r="R113" s="69"/>
      <c r="S113" s="12"/>
      <c r="T113" s="22"/>
      <c r="AE113" s="23">
        <f t="shared" si="35"/>
        <v>107764.16999999998</v>
      </c>
      <c r="AF113" s="1">
        <v>-60000</v>
      </c>
    </row>
    <row r="114" spans="1:32">
      <c r="A114" s="19">
        <v>1317561920</v>
      </c>
      <c r="B114" s="19" t="str">
        <f t="shared" si="42"/>
        <v>920</v>
      </c>
      <c r="C114" s="19" t="str">
        <f t="shared" si="57"/>
        <v>317561</v>
      </c>
      <c r="D114" s="19" t="s">
        <v>163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>
        <f>-VLOOKUP(A:A,'[1]דוח כספי 31.10'!A:J,9,0)</f>
        <v>181000</v>
      </c>
      <c r="P114" s="20">
        <f>-VLOOKUP(A:A,'[1]דוח כספי 31.10'!A:D,4,0)</f>
        <v>145635.66</v>
      </c>
      <c r="Q114" s="20">
        <v>175000</v>
      </c>
      <c r="R114" s="69"/>
      <c r="S114" s="12"/>
      <c r="T114" s="22"/>
      <c r="AE114" s="23">
        <f t="shared" si="35"/>
        <v>35364.339999999997</v>
      </c>
      <c r="AF114" s="1">
        <v>0</v>
      </c>
    </row>
    <row r="115" spans="1:32">
      <c r="A115" s="19">
        <v>1317565920</v>
      </c>
      <c r="B115" s="19" t="str">
        <f t="shared" si="42"/>
        <v>920</v>
      </c>
      <c r="C115" s="19" t="str">
        <f t="shared" si="57"/>
        <v>317565</v>
      </c>
      <c r="D115" s="19" t="s">
        <v>177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>
        <f>-VLOOKUP(A:A,'[1]דוח כספי 31.10'!A:J,9,0)</f>
        <v>30000</v>
      </c>
      <c r="P115" s="20">
        <f>-VLOOKUP(A:A,'[1]דוח כספי 31.10'!A:D,4,0)</f>
        <v>55011.77</v>
      </c>
      <c r="Q115" s="20">
        <v>66000</v>
      </c>
      <c r="R115" s="69"/>
      <c r="S115" s="12"/>
      <c r="T115" s="22"/>
      <c r="AE115" s="23">
        <f t="shared" si="35"/>
        <v>-25011.769999999997</v>
      </c>
      <c r="AF115" s="1">
        <v>-50000</v>
      </c>
    </row>
    <row r="116" spans="1:32">
      <c r="A116" s="19">
        <v>1317566920</v>
      </c>
      <c r="B116" s="19" t="str">
        <f t="shared" si="42"/>
        <v>920</v>
      </c>
      <c r="C116" s="19" t="str">
        <f t="shared" si="57"/>
        <v>317566</v>
      </c>
      <c r="D116" s="19" t="s">
        <v>107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>
        <f>-VLOOKUP(A:A,'[1]דוח כספי 31.10'!A:J,9,0)</f>
        <v>0</v>
      </c>
      <c r="P116" s="20">
        <f>-VLOOKUP(A:A,'[1]דוח כספי 31.10'!A:D,4,0)</f>
        <v>26385.279999999999</v>
      </c>
      <c r="Q116" s="20">
        <v>32000</v>
      </c>
      <c r="R116" s="69"/>
      <c r="S116" s="12"/>
      <c r="T116" s="22"/>
      <c r="AE116" s="23">
        <f t="shared" si="35"/>
        <v>-26385.279999999999</v>
      </c>
      <c r="AF116" s="1">
        <v>-160000</v>
      </c>
    </row>
    <row r="117" spans="1:32">
      <c r="A117" s="19">
        <v>1317567920</v>
      </c>
      <c r="B117" s="19" t="str">
        <f t="shared" si="42"/>
        <v>920</v>
      </c>
      <c r="C117" s="19" t="str">
        <f t="shared" si="57"/>
        <v>317567</v>
      </c>
      <c r="D117" s="19" t="s">
        <v>158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>
        <f>-VLOOKUP(A:A,'[1]דוח כספי 31.10'!A:J,9,0)</f>
        <v>8000</v>
      </c>
      <c r="P117" s="20">
        <f>-VLOOKUP(A:A,'[1]דוח כספי 31.10'!A:D,4,0)</f>
        <v>51389.99</v>
      </c>
      <c r="Q117" s="20">
        <v>62000</v>
      </c>
      <c r="R117" s="69"/>
      <c r="S117" s="12"/>
      <c r="T117" s="22"/>
      <c r="AE117" s="23">
        <f t="shared" si="35"/>
        <v>-43389.99</v>
      </c>
      <c r="AF117" s="1">
        <v>0</v>
      </c>
    </row>
    <row r="118" spans="1:32">
      <c r="A118" s="19">
        <v>1317568920</v>
      </c>
      <c r="B118" s="19" t="str">
        <f t="shared" si="42"/>
        <v>920</v>
      </c>
      <c r="C118" s="19" t="str">
        <f t="shared" si="57"/>
        <v>317568</v>
      </c>
      <c r="D118" s="19" t="s">
        <v>159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>
        <f>-VLOOKUP(A:A,'[1]דוח כספי 31.10'!A:J,9,0)</f>
        <v>1000</v>
      </c>
      <c r="P118" s="20">
        <f>-VLOOKUP(A:A,'[1]דוח כספי 31.10'!A:D,4,0)</f>
        <v>2199.37</v>
      </c>
      <c r="Q118" s="20">
        <v>3000</v>
      </c>
      <c r="R118" s="69"/>
      <c r="S118" s="12"/>
      <c r="T118" s="22"/>
      <c r="AE118" s="23">
        <f t="shared" si="35"/>
        <v>-1199.3699999999999</v>
      </c>
      <c r="AF118" s="1">
        <v>-3480000</v>
      </c>
    </row>
    <row r="119" spans="1:32">
      <c r="A119" s="19">
        <v>1317569920</v>
      </c>
      <c r="B119" s="19" t="str">
        <f t="shared" si="42"/>
        <v>920</v>
      </c>
      <c r="C119" s="19" t="str">
        <f t="shared" si="57"/>
        <v>317569</v>
      </c>
      <c r="D119" s="19" t="s">
        <v>87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>
        <f>-VLOOKUP(A:A,'[1]דוח כספי 31.10'!A:J,9,0)</f>
        <v>0</v>
      </c>
      <c r="P119" s="20">
        <f>-VLOOKUP(A:A,'[1]דוח כספי 31.10'!A:D,4,0)</f>
        <v>159180.72</v>
      </c>
      <c r="Q119" s="20">
        <v>191000</v>
      </c>
      <c r="R119" s="69"/>
      <c r="S119" s="12"/>
      <c r="T119" s="22"/>
      <c r="AE119" s="23">
        <f t="shared" si="35"/>
        <v>-159180.72</v>
      </c>
      <c r="AF119" s="1">
        <v>-1264000</v>
      </c>
    </row>
    <row r="120" spans="1:32">
      <c r="A120" s="19">
        <v>1317600920</v>
      </c>
      <c r="B120" s="19" t="str">
        <f t="shared" si="42"/>
        <v>920</v>
      </c>
      <c r="C120" s="19" t="str">
        <f t="shared" si="57"/>
        <v>317600</v>
      </c>
      <c r="D120" s="19" t="s">
        <v>197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>
        <f>-VLOOKUP(A:A,'[1]דוח כספי 31.10'!A:J,9,0)</f>
        <v>152000</v>
      </c>
      <c r="P120" s="20">
        <f>-VLOOKUP(A:A,'[1]דוח כספי 31.10'!A:D,4,0)</f>
        <v>146788.28</v>
      </c>
      <c r="Q120" s="20">
        <v>176000</v>
      </c>
      <c r="R120" s="69"/>
      <c r="S120" s="12"/>
      <c r="T120" s="22"/>
      <c r="AE120" s="23">
        <f t="shared" si="35"/>
        <v>5211.7200000000012</v>
      </c>
      <c r="AF120" s="1">
        <v>0</v>
      </c>
    </row>
    <row r="121" spans="1:32">
      <c r="A121" s="19">
        <v>1317610920</v>
      </c>
      <c r="B121" s="19" t="str">
        <f t="shared" si="42"/>
        <v>920</v>
      </c>
      <c r="C121" s="19" t="str">
        <f t="shared" si="57"/>
        <v>317610</v>
      </c>
      <c r="D121" s="19" t="s">
        <v>198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>
        <f>-VLOOKUP(A:A,'[1]דוח כספי 31.10'!A:J,9,0)</f>
        <v>0</v>
      </c>
      <c r="P121" s="20">
        <f>-VLOOKUP(A:A,'[1]דוח כספי 31.10'!A:D,4,0)</f>
        <v>0</v>
      </c>
      <c r="Q121" s="20">
        <f t="shared" si="60"/>
        <v>0</v>
      </c>
      <c r="R121" s="69"/>
      <c r="S121" s="12"/>
      <c r="T121" s="22"/>
      <c r="AE121" s="23">
        <f t="shared" si="35"/>
        <v>0</v>
      </c>
      <c r="AF121" s="1">
        <v>-14000</v>
      </c>
    </row>
    <row r="122" spans="1:32">
      <c r="A122" s="19">
        <v>1317620920</v>
      </c>
      <c r="B122" s="19" t="str">
        <f t="shared" si="42"/>
        <v>920</v>
      </c>
      <c r="C122" s="19" t="str">
        <f t="shared" si="57"/>
        <v>317620</v>
      </c>
      <c r="D122" s="19" t="s">
        <v>199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>
        <f>-VLOOKUP(A:A,'[1]דוח כספי 31.10'!A:J,9,0)</f>
        <v>0</v>
      </c>
      <c r="P122" s="20"/>
      <c r="Q122" s="20">
        <f t="shared" si="60"/>
        <v>0</v>
      </c>
      <c r="R122" s="69"/>
      <c r="S122" s="12"/>
      <c r="T122" s="22"/>
      <c r="AE122" s="23">
        <f t="shared" si="35"/>
        <v>0</v>
      </c>
      <c r="AF122" s="1">
        <v>0</v>
      </c>
    </row>
    <row r="123" spans="1:32">
      <c r="A123" s="19">
        <v>1317700920</v>
      </c>
      <c r="B123" s="19" t="str">
        <f t="shared" si="42"/>
        <v>920</v>
      </c>
      <c r="C123" s="19" t="str">
        <f t="shared" si="57"/>
        <v>317700</v>
      </c>
      <c r="D123" s="19" t="s">
        <v>200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>
        <f>-VLOOKUP(A:A,'[1]דוח כספי 31.10'!A:J,9,0)</f>
        <v>203000</v>
      </c>
      <c r="P123" s="20">
        <f>-VLOOKUP(A:A,'[1]דוח כספי 31.10'!A:D,4,0)</f>
        <v>123851.25</v>
      </c>
      <c r="Q123" s="20">
        <v>149000</v>
      </c>
      <c r="R123" s="69"/>
      <c r="S123" s="12"/>
      <c r="T123" s="22"/>
      <c r="AE123" s="23">
        <f t="shared" si="35"/>
        <v>79148.75</v>
      </c>
      <c r="AF123" s="1">
        <v>-331000</v>
      </c>
    </row>
    <row r="124" spans="1:32">
      <c r="A124" s="19">
        <v>1317710920</v>
      </c>
      <c r="B124" s="19" t="str">
        <f t="shared" si="42"/>
        <v>920</v>
      </c>
      <c r="C124" s="19" t="str">
        <f t="shared" si="57"/>
        <v>317710</v>
      </c>
      <c r="D124" s="19" t="s">
        <v>201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>
        <f>-VLOOKUP(A:A,'[1]דוח כספי 31.10'!A:J,9,0)</f>
        <v>55000</v>
      </c>
      <c r="P124" s="20">
        <v>11000</v>
      </c>
      <c r="Q124" s="20">
        <v>13000</v>
      </c>
      <c r="R124" s="69"/>
      <c r="S124" s="12"/>
      <c r="T124" s="22"/>
      <c r="AE124" s="23">
        <f t="shared" si="35"/>
        <v>44000</v>
      </c>
      <c r="AF124" s="1">
        <v>0</v>
      </c>
    </row>
    <row r="125" spans="1:32">
      <c r="A125" s="19">
        <v>1317720920</v>
      </c>
      <c r="B125" s="19" t="str">
        <f t="shared" si="42"/>
        <v>920</v>
      </c>
      <c r="C125" s="19" t="str">
        <f t="shared" si="57"/>
        <v>317720</v>
      </c>
      <c r="D125" s="19" t="s">
        <v>136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>
        <f>-VLOOKUP(A:A,'[1]דוח כספי 31.10'!A:J,9,0)</f>
        <v>28000</v>
      </c>
      <c r="P125" s="20">
        <f>-VLOOKUP(A:A,'[1]דוח כספי 31.10'!A:D,4,0)</f>
        <v>25645.46</v>
      </c>
      <c r="Q125" s="20">
        <v>31000</v>
      </c>
      <c r="R125" s="69"/>
      <c r="S125" s="12"/>
      <c r="T125" s="22"/>
      <c r="AE125" s="23">
        <f t="shared" si="35"/>
        <v>2354.5400000000009</v>
      </c>
      <c r="AF125" s="1">
        <v>0</v>
      </c>
    </row>
    <row r="126" spans="1:32">
      <c r="A126" s="19">
        <v>1317730920</v>
      </c>
      <c r="B126" s="19" t="str">
        <f t="shared" si="42"/>
        <v>920</v>
      </c>
      <c r="C126" s="19" t="str">
        <f t="shared" si="57"/>
        <v>317730</v>
      </c>
      <c r="D126" s="19" t="s">
        <v>202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>
        <f>-VLOOKUP(A:A,'[1]דוח כספי 31.10'!A:J,9,0)</f>
        <v>60000</v>
      </c>
      <c r="P126" s="20">
        <f>-VLOOKUP(A:A,'[1]דוח כספי 31.10'!A:D,4,0)</f>
        <v>64134.87</v>
      </c>
      <c r="Q126" s="20">
        <v>77000</v>
      </c>
      <c r="R126" s="69"/>
      <c r="S126" s="12"/>
      <c r="T126" s="22"/>
      <c r="AE126" s="23">
        <f t="shared" si="35"/>
        <v>-4134.8700000000026</v>
      </c>
      <c r="AF126" s="1">
        <v>0</v>
      </c>
    </row>
    <row r="127" spans="1:32">
      <c r="A127" s="19">
        <v>1317740920</v>
      </c>
      <c r="B127" s="19" t="str">
        <f t="shared" si="42"/>
        <v>920</v>
      </c>
      <c r="C127" s="19" t="str">
        <f t="shared" si="57"/>
        <v>317740</v>
      </c>
      <c r="D127" s="19" t="s">
        <v>170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>
        <f>-VLOOKUP(A:A,'[1]דוח כספי 31.10'!A:J,9,0)</f>
        <v>9000</v>
      </c>
      <c r="P127" s="20">
        <f>-VLOOKUP(A:A,'[1]דוח כספי 31.10'!A:D,4,0)</f>
        <v>6272.92</v>
      </c>
      <c r="Q127" s="20">
        <v>8000</v>
      </c>
      <c r="R127" s="69"/>
      <c r="S127" s="12"/>
      <c r="T127" s="22"/>
      <c r="AE127" s="23">
        <f t="shared" si="35"/>
        <v>2727.08</v>
      </c>
      <c r="AF127" s="1">
        <v>0</v>
      </c>
    </row>
    <row r="128" spans="1:32">
      <c r="A128" s="19">
        <v>1317750920</v>
      </c>
      <c r="B128" s="19" t="str">
        <f t="shared" si="42"/>
        <v>920</v>
      </c>
      <c r="C128" s="19" t="str">
        <f t="shared" si="57"/>
        <v>317750</v>
      </c>
      <c r="D128" s="19" t="s">
        <v>173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>
        <f>-VLOOKUP(A:A,'[1]דוח כספי 31.10'!A:J,9,0)</f>
        <v>57000</v>
      </c>
      <c r="P128" s="20">
        <f>-VLOOKUP(A:A,'[1]דוח כספי 31.10'!A:D,4,0)</f>
        <v>108802.81</v>
      </c>
      <c r="Q128" s="20">
        <v>131000</v>
      </c>
      <c r="R128" s="69"/>
      <c r="S128" s="12"/>
      <c r="T128" s="22"/>
      <c r="AE128" s="23">
        <f t="shared" si="35"/>
        <v>-51802.81</v>
      </c>
      <c r="AF128" s="1">
        <v>0</v>
      </c>
    </row>
    <row r="129" spans="1:32">
      <c r="A129" s="19">
        <v>1317800920</v>
      </c>
      <c r="B129" s="19" t="str">
        <f t="shared" si="42"/>
        <v>920</v>
      </c>
      <c r="C129" s="19" t="str">
        <f t="shared" si="57"/>
        <v>317800</v>
      </c>
      <c r="D129" s="19" t="s">
        <v>203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>
        <f>-VLOOKUP(A:A,'[1]דוח כספי 31.10'!A:J,9,0)</f>
        <v>60000</v>
      </c>
      <c r="P129" s="20">
        <f>-VLOOKUP(A:A,'[1]דוח כספי 31.10'!A:D,4,0)</f>
        <v>69540.72</v>
      </c>
      <c r="Q129" s="20">
        <v>84000</v>
      </c>
      <c r="R129" s="69"/>
      <c r="S129" s="12"/>
      <c r="T129" s="22"/>
      <c r="AE129" s="23">
        <f t="shared" si="35"/>
        <v>-9540.7200000000012</v>
      </c>
      <c r="AF129" s="1">
        <v>0</v>
      </c>
    </row>
    <row r="130" spans="1:32">
      <c r="A130" s="19">
        <v>1317810920</v>
      </c>
      <c r="B130" s="19" t="str">
        <f t="shared" si="42"/>
        <v>920</v>
      </c>
      <c r="C130" s="19" t="str">
        <f t="shared" si="57"/>
        <v>317810</v>
      </c>
      <c r="D130" s="19" t="s">
        <v>206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>
        <f>-VLOOKUP(A:A,'[1]דוח כספי 31.10'!A:J,9,0)</f>
        <v>0</v>
      </c>
      <c r="P130" s="20">
        <f>-VLOOKUP(A:A,'[1]דוח כספי 31.10'!A:D,4,0)</f>
        <v>0</v>
      </c>
      <c r="Q130" s="20">
        <f t="shared" si="60"/>
        <v>0</v>
      </c>
      <c r="R130" s="69"/>
      <c r="S130" s="12"/>
      <c r="T130" s="22"/>
      <c r="AE130" s="23">
        <f t="shared" si="35"/>
        <v>0</v>
      </c>
      <c r="AF130" s="1">
        <v>-100000</v>
      </c>
    </row>
    <row r="131" spans="1:32">
      <c r="A131" s="19">
        <v>1317820920</v>
      </c>
      <c r="B131" s="19" t="str">
        <f t="shared" si="42"/>
        <v>920</v>
      </c>
      <c r="C131" s="19" t="str">
        <f t="shared" si="57"/>
        <v>317820</v>
      </c>
      <c r="D131" s="19" t="s">
        <v>104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>
        <f>-VLOOKUP(A:A,'[1]דוח כספי 31.10'!A:J,9,0)</f>
        <v>50000</v>
      </c>
      <c r="P131" s="20">
        <f>-VLOOKUP(A:A,'[1]דוח כספי 31.10'!A:D,4,0)</f>
        <v>74300.78</v>
      </c>
      <c r="Q131" s="20">
        <v>89000</v>
      </c>
      <c r="R131" s="69"/>
      <c r="S131" s="12"/>
      <c r="T131" s="22"/>
      <c r="AE131" s="23">
        <f t="shared" si="35"/>
        <v>-24300.78</v>
      </c>
      <c r="AF131" s="1">
        <v>0</v>
      </c>
    </row>
    <row r="132" spans="1:32">
      <c r="A132" s="19">
        <v>1317830920</v>
      </c>
      <c r="B132" s="19" t="str">
        <f t="shared" si="42"/>
        <v>920</v>
      </c>
      <c r="C132" s="19" t="str">
        <f t="shared" si="57"/>
        <v>317830</v>
      </c>
      <c r="D132" s="19" t="s">
        <v>108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>
        <f>-VLOOKUP(A:A,'[1]דוח כספי 31.10'!A:J,9,0)</f>
        <v>160000</v>
      </c>
      <c r="P132" s="20">
        <f>-VLOOKUP(A:A,'[1]דוח כספי 31.10'!A:D,4,0)</f>
        <v>200885.38</v>
      </c>
      <c r="Q132" s="20">
        <v>241000</v>
      </c>
      <c r="R132" s="69"/>
      <c r="S132" s="12"/>
      <c r="T132" s="22"/>
      <c r="AE132" s="23">
        <f t="shared" si="35"/>
        <v>-40885.380000000005</v>
      </c>
      <c r="AF132" s="1">
        <v>0</v>
      </c>
    </row>
    <row r="133" spans="1:32">
      <c r="A133" s="19">
        <v>1317831920</v>
      </c>
      <c r="B133" s="19" t="str">
        <f t="shared" si="42"/>
        <v>920</v>
      </c>
      <c r="C133" s="19" t="str">
        <f t="shared" si="57"/>
        <v>317831</v>
      </c>
      <c r="D133" s="19" t="s">
        <v>207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>
        <f>-VLOOKUP(A:A,'[1]דוח כספי 31.10'!A:J,9,0)</f>
        <v>0</v>
      </c>
      <c r="P133" s="20">
        <f>-VLOOKUP(A:A,'[1]דוח כספי 31.10'!A:D,4,0)</f>
        <v>0</v>
      </c>
      <c r="Q133" s="20">
        <f t="shared" si="60"/>
        <v>0</v>
      </c>
      <c r="R133" s="69"/>
      <c r="S133" s="12"/>
      <c r="T133" s="22"/>
      <c r="AE133" s="23">
        <f t="shared" ref="AE133:AE196" si="62">O133-P133</f>
        <v>0</v>
      </c>
      <c r="AF133" s="1">
        <v>-6000</v>
      </c>
    </row>
    <row r="134" spans="1:32">
      <c r="A134" s="19">
        <v>1317840920</v>
      </c>
      <c r="B134" s="19" t="str">
        <f t="shared" si="42"/>
        <v>920</v>
      </c>
      <c r="C134" s="19" t="str">
        <f t="shared" si="57"/>
        <v>317840</v>
      </c>
      <c r="D134" s="19" t="s">
        <v>208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>
        <f>-VLOOKUP(A:A,'[1]דוח כספי 31.10'!A:J,9,0)</f>
        <v>3480000</v>
      </c>
      <c r="P134" s="20">
        <f>-VLOOKUP(A:A,'[1]דוח כספי 31.10'!A:D,4,0)</f>
        <v>3120034.8</v>
      </c>
      <c r="Q134" s="20">
        <v>3744000</v>
      </c>
      <c r="R134" s="69"/>
      <c r="S134" s="12"/>
      <c r="T134" s="22"/>
      <c r="AE134" s="23">
        <f t="shared" si="62"/>
        <v>359965.20000000019</v>
      </c>
      <c r="AF134" s="1">
        <v>-597000</v>
      </c>
    </row>
    <row r="135" spans="1:32">
      <c r="A135" s="19">
        <v>1317841920</v>
      </c>
      <c r="B135" s="19" t="str">
        <f t="shared" si="42"/>
        <v>920</v>
      </c>
      <c r="C135" s="19" t="str">
        <f t="shared" si="57"/>
        <v>317841</v>
      </c>
      <c r="D135" s="19" t="s">
        <v>209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>
        <f>-VLOOKUP(A:A,'[1]דוח כספי 31.10'!A:J,9,0)</f>
        <v>1264000</v>
      </c>
      <c r="P135" s="20">
        <f>-VLOOKUP(A:A,'[1]דוח כספי 31.10'!A:D,4,0)</f>
        <v>0</v>
      </c>
      <c r="Q135" s="20">
        <f t="shared" si="60"/>
        <v>0</v>
      </c>
      <c r="R135" s="69"/>
      <c r="S135" s="12"/>
      <c r="T135" s="22"/>
      <c r="AE135" s="23">
        <f t="shared" si="62"/>
        <v>1264000</v>
      </c>
      <c r="AF135" s="1">
        <v>-19000</v>
      </c>
    </row>
    <row r="136" spans="1:32">
      <c r="A136" s="19">
        <v>1317842920</v>
      </c>
      <c r="B136" s="19" t="str">
        <f t="shared" si="42"/>
        <v>920</v>
      </c>
      <c r="C136" s="19" t="str">
        <f t="shared" si="57"/>
        <v>317842</v>
      </c>
      <c r="D136" s="19" t="s">
        <v>210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>
        <f>-VLOOKUP(A:A,'[1]דוח כספי 31.10'!A:J,9,0)</f>
        <v>0</v>
      </c>
      <c r="P136" s="20">
        <f>-VLOOKUP(A:A,'[1]דוח כספי 31.10'!A:D,4,0)</f>
        <v>0</v>
      </c>
      <c r="Q136" s="20">
        <f t="shared" si="60"/>
        <v>0</v>
      </c>
      <c r="R136" s="69"/>
      <c r="S136" s="12"/>
      <c r="T136" s="22"/>
      <c r="AE136" s="23">
        <f t="shared" si="62"/>
        <v>0</v>
      </c>
      <c r="AF136" s="1">
        <v>-38000</v>
      </c>
    </row>
    <row r="137" spans="1:32">
      <c r="A137" s="19">
        <v>1317850920</v>
      </c>
      <c r="B137" s="19" t="str">
        <f t="shared" si="42"/>
        <v>920</v>
      </c>
      <c r="C137" s="19" t="str">
        <f t="shared" si="57"/>
        <v>317850</v>
      </c>
      <c r="D137" s="19" t="s">
        <v>211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>
        <f>-VLOOKUP(A:A,'[1]דוח כספי 31.10'!A:J,9,0)</f>
        <v>14000</v>
      </c>
      <c r="P137" s="20">
        <f>-VLOOKUP(A:A,'[1]דוח כספי 31.10'!A:D,4,0)</f>
        <v>6585.68</v>
      </c>
      <c r="Q137" s="20">
        <v>8000</v>
      </c>
      <c r="R137" s="69"/>
      <c r="S137" s="12"/>
      <c r="T137" s="22"/>
      <c r="AE137" s="23">
        <f t="shared" si="62"/>
        <v>7414.32</v>
      </c>
      <c r="AF137" s="1">
        <v>0</v>
      </c>
    </row>
    <row r="138" spans="1:32">
      <c r="A138" s="19">
        <v>1317851920</v>
      </c>
      <c r="B138" s="19" t="str">
        <f t="shared" si="42"/>
        <v>920</v>
      </c>
      <c r="C138" s="19" t="str">
        <f t="shared" si="57"/>
        <v>317851</v>
      </c>
      <c r="D138" s="19" t="s">
        <v>212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>
        <f>-VLOOKUP(A:A,'[1]דוח כספי 31.10'!A:J,9,0)</f>
        <v>0</v>
      </c>
      <c r="P138" s="20">
        <f>-VLOOKUP(A:A,'[1]דוח כספי 31.10'!A:D,4,0)</f>
        <v>0</v>
      </c>
      <c r="Q138" s="20">
        <f t="shared" si="60"/>
        <v>0</v>
      </c>
      <c r="R138" s="69"/>
      <c r="S138" s="12"/>
      <c r="T138" s="22"/>
      <c r="AE138" s="23">
        <f t="shared" si="62"/>
        <v>0</v>
      </c>
      <c r="AF138" s="1">
        <v>-6000</v>
      </c>
    </row>
    <row r="139" spans="1:32">
      <c r="A139" s="19">
        <v>1317860920</v>
      </c>
      <c r="B139" s="19" t="str">
        <f t="shared" si="42"/>
        <v>920</v>
      </c>
      <c r="C139" s="19" t="str">
        <f t="shared" si="57"/>
        <v>317860</v>
      </c>
      <c r="D139" s="19" t="s">
        <v>213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>
        <f>-VLOOKUP(A:A,'[1]דוח כספי 31.10'!A:J,9,0)</f>
        <v>331000</v>
      </c>
      <c r="P139" s="20">
        <f>-VLOOKUP(A:A,'[1]דוח כספי 31.10'!A:D,4,0)</f>
        <v>314110.99</v>
      </c>
      <c r="Q139" s="20">
        <v>377000</v>
      </c>
      <c r="R139" s="69"/>
      <c r="S139" s="12"/>
      <c r="T139" s="22"/>
      <c r="AE139" s="23">
        <f t="shared" si="62"/>
        <v>16889.010000000009</v>
      </c>
      <c r="AF139" s="1">
        <v>0</v>
      </c>
    </row>
    <row r="140" spans="1:32">
      <c r="A140" s="19">
        <v>1317861920</v>
      </c>
      <c r="B140" s="19" t="str">
        <f t="shared" si="42"/>
        <v>920</v>
      </c>
      <c r="C140" s="19" t="str">
        <f t="shared" si="57"/>
        <v>317861</v>
      </c>
      <c r="D140" s="19" t="s">
        <v>214</v>
      </c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>
        <f>-VLOOKUP(A:A,'[1]דוח כספי 31.10'!A:J,9,0)</f>
        <v>0</v>
      </c>
      <c r="P140" s="20"/>
      <c r="Q140" s="20">
        <f t="shared" si="60"/>
        <v>0</v>
      </c>
      <c r="R140" s="69"/>
      <c r="S140" s="12"/>
      <c r="T140" s="22"/>
      <c r="AE140" s="23">
        <f t="shared" si="62"/>
        <v>0</v>
      </c>
      <c r="AF140" s="1">
        <v>0</v>
      </c>
    </row>
    <row r="141" spans="1:32">
      <c r="A141" s="19">
        <v>1317870690</v>
      </c>
      <c r="B141" s="19" t="str">
        <f t="shared" si="42"/>
        <v>690</v>
      </c>
      <c r="C141" s="19" t="str">
        <f t="shared" si="57"/>
        <v>317870</v>
      </c>
      <c r="D141" s="19" t="s">
        <v>215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>
        <f>-VLOOKUP(A:A,'[1]דוח כספי 31.10'!A:J,9,0)</f>
        <v>0</v>
      </c>
      <c r="P141" s="20">
        <f>-VLOOKUP(A:A,'[1]דוח כספי 31.10'!A:D,4,0)</f>
        <v>0</v>
      </c>
      <c r="Q141" s="20">
        <f t="shared" si="60"/>
        <v>0</v>
      </c>
      <c r="R141" s="69"/>
      <c r="S141" s="12"/>
      <c r="T141" s="22"/>
      <c r="AE141" s="23">
        <f t="shared" si="62"/>
        <v>0</v>
      </c>
      <c r="AF141" s="1">
        <v>-555000</v>
      </c>
    </row>
    <row r="142" spans="1:32">
      <c r="A142" s="19">
        <v>1317870920</v>
      </c>
      <c r="B142" s="19" t="str">
        <f t="shared" si="42"/>
        <v>920</v>
      </c>
      <c r="C142" s="19" t="str">
        <f t="shared" si="57"/>
        <v>317870</v>
      </c>
      <c r="D142" s="19" t="s">
        <v>216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>
        <f>-VLOOKUP(A:A,'[1]דוח כספי 31.10'!A:J,9,0)</f>
        <v>0</v>
      </c>
      <c r="P142" s="20">
        <f>-VLOOKUP(A:A,'[1]דוח כספי 31.10'!A:D,4,0)</f>
        <v>0</v>
      </c>
      <c r="Q142" s="20">
        <f t="shared" si="60"/>
        <v>0</v>
      </c>
      <c r="R142" s="69"/>
      <c r="S142" s="12"/>
      <c r="T142" s="22"/>
      <c r="AE142" s="23">
        <f t="shared" si="62"/>
        <v>0</v>
      </c>
      <c r="AF142" s="1">
        <v>-52000</v>
      </c>
    </row>
    <row r="143" spans="1:32">
      <c r="A143" s="19">
        <v>1317875920</v>
      </c>
      <c r="B143" s="19" t="str">
        <f t="shared" si="42"/>
        <v>920</v>
      </c>
      <c r="C143" s="19" t="str">
        <f t="shared" si="57"/>
        <v>317875</v>
      </c>
      <c r="D143" s="19" t="s">
        <v>217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>
        <f>-VLOOKUP(A:A,'[1]דוח כספי 31.10'!A:J,9,0)</f>
        <v>0</v>
      </c>
      <c r="P143" s="20"/>
      <c r="Q143" s="20">
        <f t="shared" si="60"/>
        <v>0</v>
      </c>
      <c r="R143" s="69"/>
      <c r="S143" s="12"/>
      <c r="T143" s="22"/>
      <c r="AE143" s="23">
        <f t="shared" si="62"/>
        <v>0</v>
      </c>
      <c r="AF143" s="1">
        <v>0</v>
      </c>
    </row>
    <row r="144" spans="1:32">
      <c r="A144" s="19">
        <v>1317880920</v>
      </c>
      <c r="B144" s="19" t="str">
        <f t="shared" si="42"/>
        <v>920</v>
      </c>
      <c r="C144" s="19" t="str">
        <f t="shared" si="57"/>
        <v>317880</v>
      </c>
      <c r="D144" s="19" t="s">
        <v>218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>
        <f>-VLOOKUP(A:A,'[1]דוח כספי 31.10'!A:J,9,0)</f>
        <v>0</v>
      </c>
      <c r="P144" s="20">
        <f>-VLOOKUP(A:A,'[1]דוח כספי 31.10'!A:D,4,0)</f>
        <v>0</v>
      </c>
      <c r="Q144" s="20">
        <f t="shared" si="60"/>
        <v>0</v>
      </c>
      <c r="R144" s="69"/>
      <c r="S144" s="12"/>
      <c r="T144" s="22"/>
      <c r="AE144" s="23">
        <f t="shared" si="62"/>
        <v>0</v>
      </c>
      <c r="AF144" s="1">
        <v>0</v>
      </c>
    </row>
    <row r="145" spans="1:32">
      <c r="A145" s="19">
        <v>1317890920</v>
      </c>
      <c r="B145" s="19" t="str">
        <f t="shared" ref="B145:B159" si="63">MID(A145,8,3)</f>
        <v>920</v>
      </c>
      <c r="C145" s="19" t="str">
        <f t="shared" si="57"/>
        <v>317890</v>
      </c>
      <c r="D145" s="19" t="s">
        <v>219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>
        <f>-VLOOKUP(A:A,'[1]דוח כספי 31.10'!A:J,9,0)</f>
        <v>0</v>
      </c>
      <c r="P145" s="20">
        <f>-VLOOKUP(A:A,'[1]דוח כספי 31.10'!A:D,4,0)</f>
        <v>0</v>
      </c>
      <c r="Q145" s="20">
        <f t="shared" si="60"/>
        <v>0</v>
      </c>
      <c r="R145" s="69"/>
      <c r="S145" s="12"/>
      <c r="T145" s="22"/>
      <c r="AE145" s="23">
        <f t="shared" si="62"/>
        <v>0</v>
      </c>
      <c r="AF145" s="1">
        <v>-79000</v>
      </c>
    </row>
    <row r="146" spans="1:32">
      <c r="A146" s="19">
        <v>1317891920</v>
      </c>
      <c r="B146" s="19" t="str">
        <f t="shared" si="63"/>
        <v>920</v>
      </c>
      <c r="C146" s="19" t="str">
        <f t="shared" si="57"/>
        <v>317891</v>
      </c>
      <c r="D146" s="19" t="s">
        <v>220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>
        <f>-VLOOKUP(A:A,'[1]דוח כספי 31.10'!A:J,9,0)</f>
        <v>100000</v>
      </c>
      <c r="P146" s="20">
        <f>-VLOOKUP(A:A,'[1]דוח כספי 31.10'!A:D,4,0)</f>
        <v>146666.46</v>
      </c>
      <c r="Q146" s="20">
        <f t="shared" si="60"/>
        <v>175999.75199999998</v>
      </c>
      <c r="R146" s="69"/>
      <c r="S146" s="12"/>
      <c r="T146" s="22"/>
      <c r="AE146" s="23">
        <f t="shared" si="62"/>
        <v>-46666.459999999992</v>
      </c>
      <c r="AF146" s="1">
        <v>-40000</v>
      </c>
    </row>
    <row r="147" spans="1:32">
      <c r="A147" s="19">
        <v>1317893920</v>
      </c>
      <c r="B147" s="19" t="str">
        <f t="shared" si="63"/>
        <v>920</v>
      </c>
      <c r="C147" s="19" t="str">
        <f t="shared" si="57"/>
        <v>317893</v>
      </c>
      <c r="D147" s="19" t="s">
        <v>221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>
        <f>-VLOOKUP(A:A,'[1]דוח כספי 31.10'!A:J,9,0)</f>
        <v>0</v>
      </c>
      <c r="P147" s="20">
        <f>-VLOOKUP(A:A,'[1]דוח כספי 31.10'!A:D,4,0)</f>
        <v>0</v>
      </c>
      <c r="Q147" s="20">
        <f t="shared" si="60"/>
        <v>0</v>
      </c>
      <c r="R147" s="69"/>
      <c r="S147" s="12"/>
      <c r="T147" s="22"/>
      <c r="AE147" s="23">
        <f t="shared" si="62"/>
        <v>0</v>
      </c>
      <c r="AF147" s="1">
        <v>-1000</v>
      </c>
    </row>
    <row r="148" spans="1:32">
      <c r="A148" s="19">
        <v>1317894920</v>
      </c>
      <c r="B148" s="19" t="str">
        <f t="shared" si="63"/>
        <v>920</v>
      </c>
      <c r="C148" s="19" t="str">
        <f t="shared" si="57"/>
        <v>317894</v>
      </c>
      <c r="D148" s="19" t="s">
        <v>222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>
        <f>-VLOOKUP(A:A,'[1]דוח כספי 31.10'!A:J,9,0)</f>
        <v>0</v>
      </c>
      <c r="P148" s="20">
        <f>-VLOOKUP(A:A,'[1]דוח כספי 31.10'!A:D,4,0)</f>
        <v>0</v>
      </c>
      <c r="Q148" s="20">
        <f t="shared" si="60"/>
        <v>0</v>
      </c>
      <c r="R148" s="69"/>
      <c r="S148" s="12"/>
      <c r="T148" s="22"/>
      <c r="AE148" s="23">
        <f t="shared" si="62"/>
        <v>0</v>
      </c>
      <c r="AF148" s="1">
        <v>-56000</v>
      </c>
    </row>
    <row r="149" spans="1:32">
      <c r="A149" s="19">
        <v>1317895920</v>
      </c>
      <c r="B149" s="19" t="str">
        <f t="shared" si="63"/>
        <v>920</v>
      </c>
      <c r="C149" s="19" t="str">
        <f t="shared" si="57"/>
        <v>317895</v>
      </c>
      <c r="D149" s="19" t="s">
        <v>166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>
        <f>-VLOOKUP(A:A,'[1]דוח כספי 31.10'!A:J,9,0)</f>
        <v>6000</v>
      </c>
      <c r="P149" s="20">
        <f>-VLOOKUP(A:A,'[1]דוח כספי 31.10'!A:D,4,0)</f>
        <v>3873.2</v>
      </c>
      <c r="Q149" s="20">
        <v>5000</v>
      </c>
      <c r="R149" s="69"/>
      <c r="S149" s="12"/>
      <c r="T149" s="22"/>
      <c r="AE149" s="23">
        <f t="shared" si="62"/>
        <v>2126.8000000000002</v>
      </c>
      <c r="AF149" s="1">
        <v>-121000</v>
      </c>
    </row>
    <row r="150" spans="1:32">
      <c r="A150" s="19">
        <v>1317896920</v>
      </c>
      <c r="B150" s="19" t="str">
        <f t="shared" si="63"/>
        <v>920</v>
      </c>
      <c r="C150" s="19" t="str">
        <f t="shared" si="57"/>
        <v>317896</v>
      </c>
      <c r="D150" s="19" t="s">
        <v>223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>
        <f>-VLOOKUP(A:A,'[1]דוח כספי 31.10'!A:J,9,0)</f>
        <v>597000</v>
      </c>
      <c r="P150" s="20">
        <f>-VLOOKUP(A:A,'[1]דוח כספי 31.10'!A:D,4,0)</f>
        <v>465798.16</v>
      </c>
      <c r="Q150" s="20">
        <v>560000</v>
      </c>
      <c r="R150" s="69"/>
      <c r="S150" s="12"/>
      <c r="T150" s="22"/>
      <c r="AE150" s="23">
        <f t="shared" si="62"/>
        <v>131201.84000000003</v>
      </c>
      <c r="AF150" s="1">
        <v>0</v>
      </c>
    </row>
    <row r="151" spans="1:32">
      <c r="A151" s="19">
        <v>1317897920</v>
      </c>
      <c r="B151" s="19" t="str">
        <f t="shared" si="63"/>
        <v>920</v>
      </c>
      <c r="C151" s="19" t="str">
        <f t="shared" si="57"/>
        <v>317897</v>
      </c>
      <c r="D151" s="19" t="s">
        <v>225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>
        <f>-VLOOKUP(A:A,'[1]דוח כספי 31.10'!A:J,9,0)</f>
        <v>19000</v>
      </c>
      <c r="P151" s="20">
        <f>-VLOOKUP(A:A,'[1]דוח כספי 31.10'!A:D,4,0)</f>
        <v>27220.32</v>
      </c>
      <c r="Q151" s="20">
        <v>33000</v>
      </c>
      <c r="R151" s="69"/>
      <c r="S151" s="12"/>
      <c r="T151" s="22"/>
      <c r="AE151" s="23">
        <f t="shared" si="62"/>
        <v>-8220.32</v>
      </c>
      <c r="AF151" s="1">
        <v>0</v>
      </c>
    </row>
    <row r="152" spans="1:32">
      <c r="A152" s="19">
        <v>1317898920</v>
      </c>
      <c r="B152" s="19" t="str">
        <f t="shared" si="63"/>
        <v>920</v>
      </c>
      <c r="C152" s="19" t="str">
        <f t="shared" si="57"/>
        <v>317898</v>
      </c>
      <c r="D152" s="19" t="s">
        <v>226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>
        <f>-VLOOKUP(A:A,'[1]דוח כספי 31.10'!A:J,9,0)</f>
        <v>38000</v>
      </c>
      <c r="P152" s="20">
        <f>-VLOOKUP(A:A,'[1]דוח כספי 31.10'!A:D,4,0)</f>
        <v>11949.69</v>
      </c>
      <c r="Q152" s="20">
        <v>14000</v>
      </c>
      <c r="R152" s="69"/>
      <c r="S152" s="12"/>
      <c r="T152" s="22"/>
      <c r="AE152" s="23">
        <f t="shared" si="62"/>
        <v>26050.309999999998</v>
      </c>
      <c r="AF152" s="1">
        <v>0</v>
      </c>
    </row>
    <row r="153" spans="1:32">
      <c r="A153" s="19">
        <v>1317900920</v>
      </c>
      <c r="B153" s="19" t="str">
        <f t="shared" si="63"/>
        <v>920</v>
      </c>
      <c r="C153" s="19" t="str">
        <f t="shared" si="57"/>
        <v>317900</v>
      </c>
      <c r="D153" s="19" t="s">
        <v>227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>
        <f>-VLOOKUP(A:A,'[1]דוח כספי 31.10'!A:J,9,0)</f>
        <v>0</v>
      </c>
      <c r="P153" s="20">
        <f>-VLOOKUP(A:A,'[1]דוח כספי 31.10'!A:D,4,0)</f>
        <v>0</v>
      </c>
      <c r="Q153" s="20">
        <f t="shared" si="60"/>
        <v>0</v>
      </c>
      <c r="R153" s="69"/>
      <c r="S153" s="12"/>
      <c r="T153" s="22"/>
      <c r="AE153" s="23">
        <f t="shared" si="62"/>
        <v>0</v>
      </c>
      <c r="AF153" s="1">
        <v>-89000</v>
      </c>
    </row>
    <row r="154" spans="1:32">
      <c r="A154" s="19">
        <v>1318000920</v>
      </c>
      <c r="B154" s="19" t="str">
        <f t="shared" si="63"/>
        <v>920</v>
      </c>
      <c r="C154" s="19" t="str">
        <f t="shared" si="57"/>
        <v>318000</v>
      </c>
      <c r="D154" s="19" t="s">
        <v>228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>
        <f>-VLOOKUP(A:A,'[1]דוח כספי 31.10'!A:J,9,0)</f>
        <v>6000</v>
      </c>
      <c r="P154" s="20">
        <f>-VLOOKUP(A:A,'[1]דוח כספי 31.10'!A:D,4,0)</f>
        <v>0</v>
      </c>
      <c r="Q154" s="20">
        <f t="shared" si="60"/>
        <v>0</v>
      </c>
      <c r="R154" s="69"/>
      <c r="S154" s="12"/>
      <c r="T154" s="22"/>
      <c r="AE154" s="23">
        <f t="shared" si="62"/>
        <v>6000</v>
      </c>
      <c r="AF154" s="1">
        <v>-14000</v>
      </c>
    </row>
    <row r="155" spans="1:32">
      <c r="A155" s="19">
        <v>1318100740</v>
      </c>
      <c r="B155" s="19" t="str">
        <f t="shared" si="63"/>
        <v>740</v>
      </c>
      <c r="C155" s="19" t="str">
        <f t="shared" si="57"/>
        <v>318100</v>
      </c>
      <c r="D155" s="19" t="s">
        <v>229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>
        <f>-VLOOKUP(A:A,'[1]דוח כספי 31.10'!A:J,9,0)</f>
        <v>0</v>
      </c>
      <c r="P155" s="20">
        <f>-VLOOKUP(A:A,'[1]דוח כספי 31.10'!A:D,4,0)</f>
        <v>0</v>
      </c>
      <c r="Q155" s="20">
        <f t="shared" si="60"/>
        <v>0</v>
      </c>
      <c r="R155" s="69"/>
      <c r="S155" s="12"/>
      <c r="T155" s="22"/>
      <c r="AE155" s="23">
        <f t="shared" si="62"/>
        <v>0</v>
      </c>
      <c r="AF155" s="1">
        <v>0</v>
      </c>
    </row>
    <row r="156" spans="1:32">
      <c r="A156" s="19">
        <v>1318100920</v>
      </c>
      <c r="B156" s="19" t="str">
        <f t="shared" si="63"/>
        <v>920</v>
      </c>
      <c r="C156" s="19" t="str">
        <f t="shared" si="57"/>
        <v>318100</v>
      </c>
      <c r="D156" s="19" t="s">
        <v>230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>
        <f>-VLOOKUP(A:A,'[1]דוח כספי 31.10'!A:J,9,0)</f>
        <v>0</v>
      </c>
      <c r="P156" s="20">
        <f>-VLOOKUP(A:A,'[1]דוח כספי 31.10'!A:D,4,0)</f>
        <v>0</v>
      </c>
      <c r="Q156" s="20">
        <f t="shared" si="60"/>
        <v>0</v>
      </c>
      <c r="R156" s="69"/>
      <c r="S156" s="12"/>
      <c r="T156" s="22"/>
      <c r="AE156" s="23">
        <f t="shared" si="62"/>
        <v>0</v>
      </c>
      <c r="AF156" s="1">
        <v>0</v>
      </c>
    </row>
    <row r="157" spans="1:32">
      <c r="A157" s="19">
        <v>1319000920</v>
      </c>
      <c r="B157" s="19" t="str">
        <f t="shared" si="63"/>
        <v>920</v>
      </c>
      <c r="C157" s="19" t="str">
        <f t="shared" si="57"/>
        <v>319000</v>
      </c>
      <c r="D157" s="19" t="s">
        <v>231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>
        <f>-VLOOKUP(A:A,'[1]דוח כספי 31.10'!A:J,9,0)</f>
        <v>555000</v>
      </c>
      <c r="P157" s="20">
        <v>530000</v>
      </c>
      <c r="Q157" s="20">
        <v>530000</v>
      </c>
      <c r="R157" s="69"/>
      <c r="S157" s="12"/>
      <c r="T157" s="22"/>
      <c r="AE157" s="23">
        <f t="shared" si="62"/>
        <v>25000</v>
      </c>
      <c r="AF157" s="1">
        <v>-85000</v>
      </c>
    </row>
    <row r="158" spans="1:32">
      <c r="A158" s="19">
        <v>1319100920</v>
      </c>
      <c r="B158" s="19" t="str">
        <f t="shared" si="63"/>
        <v>920</v>
      </c>
      <c r="C158" s="19" t="str">
        <f t="shared" si="57"/>
        <v>319100</v>
      </c>
      <c r="D158" s="19" t="s">
        <v>86</v>
      </c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>
        <f>-VLOOKUP(A:A,'[1]דוח כספי 31.10'!A:J,9,0)</f>
        <v>52000</v>
      </c>
      <c r="P158" s="20">
        <f>-VLOOKUP(A:A,'[1]דוח כספי 31.10'!A:D,4,0)</f>
        <v>47395</v>
      </c>
      <c r="Q158" s="20">
        <v>56000</v>
      </c>
      <c r="R158" s="69"/>
      <c r="S158" s="12"/>
      <c r="T158" s="22"/>
      <c r="AE158" s="23">
        <f t="shared" si="62"/>
        <v>4605</v>
      </c>
      <c r="AF158" s="1">
        <v>-101000</v>
      </c>
    </row>
    <row r="159" spans="1:32">
      <c r="A159" s="19">
        <v>1319200920</v>
      </c>
      <c r="B159" s="19" t="str">
        <f t="shared" si="63"/>
        <v>920</v>
      </c>
      <c r="C159" s="19" t="str">
        <f t="shared" si="57"/>
        <v>319200</v>
      </c>
      <c r="D159" s="19" t="s">
        <v>233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>
        <f>-VLOOKUP(A:A,'[1]דוח כספי 31.10'!A:J,9,0)</f>
        <v>0</v>
      </c>
      <c r="P159" s="20">
        <f>-VLOOKUP(A:A,'[1]דוח כספי 31.10'!A:D,4,0)</f>
        <v>0</v>
      </c>
      <c r="Q159" s="20">
        <f t="shared" si="60"/>
        <v>0</v>
      </c>
      <c r="R159" s="69"/>
      <c r="S159" s="12"/>
      <c r="T159" s="22"/>
      <c r="AE159" s="23">
        <f t="shared" si="62"/>
        <v>0</v>
      </c>
      <c r="AF159" s="1">
        <v>-964000</v>
      </c>
    </row>
    <row r="160" spans="1:32">
      <c r="A160" s="169"/>
      <c r="B160" s="170"/>
      <c r="C160" s="170"/>
      <c r="D160" s="171" t="s">
        <v>68</v>
      </c>
      <c r="E160" s="172">
        <f t="shared" ref="E160:J160" si="64">SUM(E105:E108)</f>
        <v>535000</v>
      </c>
      <c r="F160" s="172">
        <f t="shared" si="64"/>
        <v>879924.6</v>
      </c>
      <c r="G160" s="172">
        <f t="shared" si="64"/>
        <v>1055909.52</v>
      </c>
      <c r="H160" s="172">
        <f t="shared" si="64"/>
        <v>1013303.1359999999</v>
      </c>
      <c r="I160" s="172" t="e">
        <f t="shared" si="64"/>
        <v>#REF!</v>
      </c>
      <c r="J160" s="172" t="e">
        <f t="shared" si="64"/>
        <v>#REF!</v>
      </c>
      <c r="K160" s="172">
        <f t="shared" ref="K160:Q160" si="65">SUM(K105:K159)</f>
        <v>1016000</v>
      </c>
      <c r="L160" s="172">
        <f t="shared" si="65"/>
        <v>888500</v>
      </c>
      <c r="M160" s="172">
        <f t="shared" si="65"/>
        <v>918500</v>
      </c>
      <c r="N160" s="172" t="e">
        <f t="shared" si="65"/>
        <v>#N/A</v>
      </c>
      <c r="O160" s="172">
        <f t="shared" si="65"/>
        <v>10122000</v>
      </c>
      <c r="P160" s="172">
        <f t="shared" si="65"/>
        <v>8066766.1700000009</v>
      </c>
      <c r="Q160" s="172">
        <f t="shared" si="65"/>
        <v>9577999.7520000003</v>
      </c>
      <c r="R160" s="173"/>
      <c r="S160" s="12">
        <f>IF(ISBLANK(A160),1,--OR(K160&gt;1,L160&gt;1,M160&gt;1))</f>
        <v>1</v>
      </c>
      <c r="T160" s="22">
        <f t="shared" si="54"/>
        <v>7148266.1700000009</v>
      </c>
      <c r="AE160" s="23">
        <f t="shared" si="62"/>
        <v>2055233.8299999991</v>
      </c>
      <c r="AF160" s="1">
        <v>-4000</v>
      </c>
    </row>
    <row r="161" spans="1:32">
      <c r="A161" s="174"/>
      <c r="B161" s="175"/>
      <c r="C161" s="175"/>
      <c r="D161" s="176" t="s">
        <v>235</v>
      </c>
      <c r="E161" s="177" t="e">
        <f>E160+E104+E88+#REF!+E77+E71+E64</f>
        <v>#REF!</v>
      </c>
      <c r="F161" s="177" t="e">
        <f>F160+F104+F88+#REF!+F77+F71+F64</f>
        <v>#REF!</v>
      </c>
      <c r="G161" s="177" t="e">
        <f>G160+G104+G88+#REF!+G77+G71+G64</f>
        <v>#REF!</v>
      </c>
      <c r="H161" s="177" t="e">
        <f>H160+H104+H88+#REF!+H77+H71+H64</f>
        <v>#REF!</v>
      </c>
      <c r="I161" s="177" t="e">
        <f>I160+I104+I88+#REF!+I77+I71+I64</f>
        <v>#REF!</v>
      </c>
      <c r="J161" s="177" t="e">
        <f>J160+J104+J88+#REF!+J77+J71+J64</f>
        <v>#REF!</v>
      </c>
      <c r="K161" s="177" t="e">
        <f>K160+K104+K88+#REF!+K77+K71+K64</f>
        <v>#REF!</v>
      </c>
      <c r="L161" s="177" t="e">
        <f>L160+L104+L88+#REF!+L77+L71+L64</f>
        <v>#REF!</v>
      </c>
      <c r="M161" s="177" t="e">
        <f>M160+M104+M88+#REF!+M77+M71+M64</f>
        <v>#REF!</v>
      </c>
      <c r="N161" s="177" t="e">
        <f>N160+N104+N88+#REF!+N77+N71+N64</f>
        <v>#N/A</v>
      </c>
      <c r="O161" s="177">
        <f>O160+O104+O88+O77+O71+O64+O90</f>
        <v>27383000</v>
      </c>
      <c r="P161" s="177">
        <f t="shared" ref="P161:Q161" si="66">P160+P104+P88+P77+P71+P64+P90</f>
        <v>27706195.049999997</v>
      </c>
      <c r="Q161" s="177">
        <f t="shared" si="66"/>
        <v>33298999.752</v>
      </c>
      <c r="R161" s="178"/>
      <c r="S161" s="12">
        <f>IF(ISBLANK(A161),1,--OR(K161&gt;1,L161&gt;1,M161&gt;1))</f>
        <v>1</v>
      </c>
      <c r="T161" s="22" t="e">
        <f t="shared" si="54"/>
        <v>#REF!</v>
      </c>
      <c r="AE161" s="23">
        <f t="shared" si="62"/>
        <v>-323195.04999999702</v>
      </c>
      <c r="AF161" s="1">
        <v>0</v>
      </c>
    </row>
    <row r="162" spans="1:32">
      <c r="A162" s="179"/>
      <c r="B162" s="37" t="s">
        <v>236</v>
      </c>
      <c r="C162" s="37"/>
      <c r="D162" s="37"/>
      <c r="E162" s="37"/>
      <c r="F162" s="37"/>
      <c r="G162" s="37"/>
      <c r="H162" s="38"/>
      <c r="I162" s="20"/>
      <c r="J162" s="20"/>
      <c r="K162" s="20"/>
      <c r="L162" s="20"/>
      <c r="M162" s="20"/>
      <c r="N162" s="20"/>
      <c r="O162" s="20"/>
      <c r="P162" s="20"/>
      <c r="Q162" s="20">
        <f t="shared" ref="Q162:Q175" si="67">P162/10*12</f>
        <v>0</v>
      </c>
      <c r="R162" s="69"/>
      <c r="S162" s="12">
        <f>IF(ISBLANK(A162),1,--OR(K162&gt;1,L162&gt;1,M162&gt;1))</f>
        <v>1</v>
      </c>
      <c r="T162" s="22">
        <f t="shared" si="54"/>
        <v>0</v>
      </c>
      <c r="AE162" s="23">
        <f t="shared" si="62"/>
        <v>0</v>
      </c>
      <c r="AF162" s="1">
        <v>-79000</v>
      </c>
    </row>
    <row r="163" spans="1:32">
      <c r="A163" s="186">
        <v>1323000920</v>
      </c>
      <c r="B163" s="19" t="str">
        <f t="shared" ref="B163:B175" si="68">MID(A163,8,3)</f>
        <v>920</v>
      </c>
      <c r="C163" s="19" t="str">
        <f t="shared" ref="C163:C175" si="69">MID(A163,2,6)</f>
        <v>323000</v>
      </c>
      <c r="D163" s="19" t="s">
        <v>237</v>
      </c>
      <c r="E163" s="187"/>
      <c r="F163" s="187"/>
      <c r="G163" s="187"/>
      <c r="H163" s="188"/>
      <c r="I163" s="20"/>
      <c r="J163" s="20"/>
      <c r="K163" s="20">
        <v>200000</v>
      </c>
      <c r="L163" s="20">
        <v>178085</v>
      </c>
      <c r="M163" s="20">
        <v>0</v>
      </c>
      <c r="N163" s="20" t="e">
        <f>VLOOKUP(A163,[1]כספי!$A$1:$E$324,5,0)</f>
        <v>#N/A</v>
      </c>
      <c r="O163" s="20">
        <f>-VLOOKUP(A:A,'[1]דוח כספי 31.10'!A:J,9,0)</f>
        <v>79000</v>
      </c>
      <c r="P163" s="20">
        <f>-VLOOKUP(A:A,'[1]דוח כספי 31.10'!A:D,4,0)</f>
        <v>0</v>
      </c>
      <c r="Q163" s="20">
        <f t="shared" si="67"/>
        <v>0</v>
      </c>
      <c r="R163" s="69"/>
      <c r="S163" s="12">
        <f>IF(ISBLANK(A163),1,--OR(K163&gt;1,L163&gt;1,M163&gt;1))</f>
        <v>1</v>
      </c>
      <c r="T163" s="22">
        <f t="shared" si="54"/>
        <v>0</v>
      </c>
      <c r="AE163" s="23">
        <f t="shared" si="62"/>
        <v>79000</v>
      </c>
      <c r="AF163" s="1">
        <v>0</v>
      </c>
    </row>
    <row r="164" spans="1:32">
      <c r="A164" s="186">
        <v>1323100920</v>
      </c>
      <c r="B164" s="19" t="str">
        <f t="shared" si="68"/>
        <v>920</v>
      </c>
      <c r="C164" s="19" t="str">
        <f t="shared" si="69"/>
        <v>323100</v>
      </c>
      <c r="D164" s="19" t="s">
        <v>238</v>
      </c>
      <c r="E164" s="187"/>
      <c r="F164" s="187"/>
      <c r="G164" s="187"/>
      <c r="H164" s="188"/>
      <c r="I164" s="20"/>
      <c r="J164" s="20"/>
      <c r="K164" s="20"/>
      <c r="L164" s="20"/>
      <c r="M164" s="20"/>
      <c r="N164" s="20" t="e">
        <f>VLOOKUP(A164,[1]כספי!$A$1:$E$324,5,0)</f>
        <v>#N/A</v>
      </c>
      <c r="O164" s="20">
        <f>-VLOOKUP(A:A,'[1]דוח כספי 31.10'!A:J,9,0)</f>
        <v>40000</v>
      </c>
      <c r="P164" s="20">
        <f>-VLOOKUP(A:A,'[1]דוח כספי 31.10'!A:D,4,0)</f>
        <v>57208</v>
      </c>
      <c r="Q164" s="20">
        <v>57000</v>
      </c>
      <c r="R164" s="69"/>
      <c r="S164" s="12"/>
      <c r="T164" s="22">
        <f t="shared" si="54"/>
        <v>57208</v>
      </c>
      <c r="AE164" s="23">
        <f t="shared" si="62"/>
        <v>-17208</v>
      </c>
      <c r="AF164" s="1">
        <v>0</v>
      </c>
    </row>
    <row r="165" spans="1:32">
      <c r="A165" s="19">
        <v>1324000420</v>
      </c>
      <c r="B165" s="19" t="str">
        <f t="shared" si="68"/>
        <v>420</v>
      </c>
      <c r="C165" s="19" t="str">
        <f t="shared" si="69"/>
        <v>324000</v>
      </c>
      <c r="D165" s="19" t="s">
        <v>239</v>
      </c>
      <c r="E165" s="20">
        <v>30000</v>
      </c>
      <c r="F165" s="20">
        <v>8716.67</v>
      </c>
      <c r="G165" s="20">
        <v>70000</v>
      </c>
      <c r="H165" s="20">
        <v>160000</v>
      </c>
      <c r="I165" s="20" t="e">
        <f>VLOOKUP(A165,#REF!,6,0)</f>
        <v>#REF!</v>
      </c>
      <c r="J165" s="20" t="e">
        <f t="shared" ref="J165:J175" si="70">+I165*1.71428571428571</f>
        <v>#REF!</v>
      </c>
      <c r="K165" s="20">
        <v>12000</v>
      </c>
      <c r="L165" s="20">
        <v>12000</v>
      </c>
      <c r="M165" s="20">
        <v>12000</v>
      </c>
      <c r="N165" s="20" t="e">
        <f>VLOOKUP(A165,[1]כספי!$A$1:$E$324,5,0)</f>
        <v>#N/A</v>
      </c>
      <c r="O165" s="20">
        <f>-VLOOKUP(A:A,'[1]דוח כספי 31.10'!A:J,9,0)</f>
        <v>1000</v>
      </c>
      <c r="P165" s="20">
        <f>-VLOOKUP(A:A,'[1]דוח כספי 31.10'!A:D,4,0)</f>
        <v>750</v>
      </c>
      <c r="Q165" s="20">
        <v>1000</v>
      </c>
      <c r="R165" s="69"/>
      <c r="S165" s="12">
        <f t="shared" ref="S165:S185" si="71">IF(ISBLANK(A165),1,--OR(K165&gt;1,L165&gt;1,M165&gt;1))</f>
        <v>1</v>
      </c>
      <c r="T165" s="22">
        <f t="shared" si="54"/>
        <v>-11250</v>
      </c>
      <c r="AE165" s="23">
        <f t="shared" si="62"/>
        <v>250</v>
      </c>
      <c r="AF165" s="1">
        <v>-79000</v>
      </c>
    </row>
    <row r="166" spans="1:32">
      <c r="A166" s="19">
        <v>1324000720</v>
      </c>
      <c r="B166" s="19" t="str">
        <f t="shared" si="68"/>
        <v>720</v>
      </c>
      <c r="C166" s="19" t="str">
        <f t="shared" si="69"/>
        <v>324000</v>
      </c>
      <c r="D166" s="19" t="s">
        <v>240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>
        <f>-VLOOKUP(A:A,'[1]דוח כספי 31.10'!A:J,9,0)</f>
        <v>56000</v>
      </c>
      <c r="P166" s="20">
        <f>-VLOOKUP(A:A,'[1]דוח כספי 31.10'!A:D,4,0)</f>
        <v>0</v>
      </c>
      <c r="Q166" s="20">
        <f t="shared" si="67"/>
        <v>0</v>
      </c>
      <c r="R166" s="69"/>
      <c r="S166" s="12"/>
      <c r="T166" s="22"/>
      <c r="AE166" s="23">
        <f t="shared" si="62"/>
        <v>56000</v>
      </c>
      <c r="AF166" s="1">
        <v>-190000</v>
      </c>
    </row>
    <row r="167" spans="1:32">
      <c r="A167" s="19">
        <v>1324000920</v>
      </c>
      <c r="B167" s="19" t="str">
        <f t="shared" si="68"/>
        <v>920</v>
      </c>
      <c r="C167" s="19" t="str">
        <f t="shared" si="69"/>
        <v>324000</v>
      </c>
      <c r="D167" s="19" t="s">
        <v>241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>
        <f>-VLOOKUP(A:A,'[1]דוח כספי 31.10'!A:J,9,0)</f>
        <v>121000</v>
      </c>
      <c r="P167" s="20">
        <f>-VLOOKUP(A:A,'[1]דוח כספי 31.10'!A:D,4,0)</f>
        <v>37676.720000000001</v>
      </c>
      <c r="Q167" s="20">
        <v>45000</v>
      </c>
      <c r="R167" s="69"/>
      <c r="S167" s="12"/>
      <c r="T167" s="22"/>
      <c r="AE167" s="23">
        <f t="shared" si="62"/>
        <v>83323.28</v>
      </c>
      <c r="AF167" s="1">
        <v>0</v>
      </c>
    </row>
    <row r="168" spans="1:32">
      <c r="A168" s="19">
        <v>1324100410</v>
      </c>
      <c r="B168" s="19" t="str">
        <f t="shared" si="68"/>
        <v>410</v>
      </c>
      <c r="C168" s="19" t="str">
        <f t="shared" si="69"/>
        <v>324100</v>
      </c>
      <c r="D168" s="19" t="s">
        <v>242</v>
      </c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>
        <f>-VLOOKUP(A:A,'[1]דוח כספי 31.10'!A:J,9,0)</f>
        <v>0</v>
      </c>
      <c r="P168" s="20">
        <f>-VLOOKUP(A:A,'[1]דוח כספי 31.10'!A:D,4,0)</f>
        <v>140</v>
      </c>
      <c r="Q168" s="20">
        <v>1000</v>
      </c>
      <c r="R168" s="69"/>
      <c r="S168" s="12"/>
      <c r="T168" s="22"/>
      <c r="AE168" s="23">
        <f t="shared" si="62"/>
        <v>-140</v>
      </c>
      <c r="AF168" s="1">
        <v>-144000</v>
      </c>
    </row>
    <row r="169" spans="1:32">
      <c r="A169" s="19">
        <v>1324100920</v>
      </c>
      <c r="B169" s="19" t="str">
        <f t="shared" si="68"/>
        <v>920</v>
      </c>
      <c r="C169" s="19" t="str">
        <f t="shared" si="69"/>
        <v>324100</v>
      </c>
      <c r="D169" s="19" t="s">
        <v>243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>
        <f>-VLOOKUP(A:A,'[1]דוח כספי 31.10'!A:J,9,0)</f>
        <v>0</v>
      </c>
      <c r="P169" s="20">
        <f>-VLOOKUP(A:A,'[1]דוח כספי 31.10'!A:D,4,0)</f>
        <v>0</v>
      </c>
      <c r="Q169" s="20">
        <f t="shared" si="67"/>
        <v>0</v>
      </c>
      <c r="R169" s="69"/>
      <c r="S169" s="12"/>
      <c r="T169" s="22"/>
      <c r="AE169" s="23">
        <f t="shared" si="62"/>
        <v>0</v>
      </c>
      <c r="AF169" s="1">
        <v>-194000</v>
      </c>
    </row>
    <row r="170" spans="1:32">
      <c r="A170" s="19">
        <v>1328000810</v>
      </c>
      <c r="B170" s="19" t="str">
        <f t="shared" si="68"/>
        <v>810</v>
      </c>
      <c r="C170" s="19" t="str">
        <f t="shared" si="69"/>
        <v>328000</v>
      </c>
      <c r="D170" s="19" t="s">
        <v>244</v>
      </c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>
        <f>-VLOOKUP(A:A,'[1]דוח כספי 31.10'!A:J,9,0)</f>
        <v>0</v>
      </c>
      <c r="P170" s="20">
        <f>-VLOOKUP(A:A,'[1]דוח כספי 31.10'!A:D,4,0)</f>
        <v>0</v>
      </c>
      <c r="Q170" s="20">
        <f t="shared" si="67"/>
        <v>0</v>
      </c>
      <c r="R170" s="69"/>
      <c r="S170" s="12"/>
      <c r="T170" s="22"/>
      <c r="AE170" s="23">
        <f t="shared" si="62"/>
        <v>0</v>
      </c>
      <c r="AF170" s="1">
        <v>-27000</v>
      </c>
    </row>
    <row r="171" spans="1:32">
      <c r="A171" s="19">
        <v>1328000920</v>
      </c>
      <c r="B171" s="19" t="str">
        <f t="shared" si="68"/>
        <v>920</v>
      </c>
      <c r="C171" s="19" t="str">
        <f t="shared" si="69"/>
        <v>328000</v>
      </c>
      <c r="D171" s="19" t="s">
        <v>245</v>
      </c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>
        <f>-VLOOKUP(A:A,'[1]דוח כספי 31.10'!A:J,9,0)</f>
        <v>89000</v>
      </c>
      <c r="P171" s="20">
        <f>-VLOOKUP(A:A,'[1]דוח כספי 31.10'!A:D,4,0)</f>
        <v>0</v>
      </c>
      <c r="Q171" s="20">
        <f t="shared" si="67"/>
        <v>0</v>
      </c>
      <c r="R171" s="69"/>
      <c r="S171" s="12"/>
      <c r="T171" s="22"/>
      <c r="AE171" s="23">
        <f t="shared" si="62"/>
        <v>89000</v>
      </c>
      <c r="AF171" s="1">
        <v>-1333000</v>
      </c>
    </row>
    <row r="172" spans="1:32">
      <c r="A172" s="19">
        <v>1329000420</v>
      </c>
      <c r="B172" s="19" t="str">
        <f t="shared" si="68"/>
        <v>420</v>
      </c>
      <c r="C172" s="19" t="str">
        <f t="shared" si="69"/>
        <v>329000</v>
      </c>
      <c r="D172" s="19" t="s">
        <v>246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>
        <f>-VLOOKUP(A:A,'[1]דוח כספי 31.10'!A:J,9,0)</f>
        <v>14000</v>
      </c>
      <c r="P172" s="20">
        <f>-VLOOKUP(A:A,'[1]דוח כספי 31.10'!A:D,4,0)</f>
        <v>15620</v>
      </c>
      <c r="Q172" s="20">
        <v>19000</v>
      </c>
      <c r="R172" s="69"/>
      <c r="S172" s="12"/>
      <c r="T172" s="22"/>
      <c r="AE172" s="23">
        <f t="shared" si="62"/>
        <v>-1620</v>
      </c>
      <c r="AF172" s="1">
        <v>0</v>
      </c>
    </row>
    <row r="173" spans="1:32">
      <c r="A173" s="19">
        <v>1329000920</v>
      </c>
      <c r="B173" s="19" t="str">
        <f t="shared" si="68"/>
        <v>920</v>
      </c>
      <c r="C173" s="19" t="str">
        <f t="shared" si="69"/>
        <v>329000</v>
      </c>
      <c r="D173" s="19" t="s">
        <v>247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>
        <f>-VLOOKUP(A:A,'[1]דוח כספי 31.10'!A:J,9,0)</f>
        <v>0</v>
      </c>
      <c r="P173" s="20">
        <f>-VLOOKUP(A:A,'[1]דוח כספי 31.10'!A:D,4,0)</f>
        <v>30000</v>
      </c>
      <c r="Q173" s="20">
        <f t="shared" si="67"/>
        <v>36000</v>
      </c>
      <c r="R173" s="69"/>
      <c r="S173" s="12"/>
      <c r="T173" s="22"/>
      <c r="AE173" s="23">
        <f t="shared" si="62"/>
        <v>-30000</v>
      </c>
      <c r="AF173" s="1">
        <v>-13000</v>
      </c>
    </row>
    <row r="174" spans="1:32">
      <c r="A174" s="19">
        <v>1329900710</v>
      </c>
      <c r="B174" s="19" t="str">
        <f t="shared" si="68"/>
        <v>710</v>
      </c>
      <c r="C174" s="19" t="str">
        <f t="shared" si="69"/>
        <v>329900</v>
      </c>
      <c r="D174" s="19" t="s">
        <v>248</v>
      </c>
      <c r="E174" s="20">
        <v>5000</v>
      </c>
      <c r="F174" s="20"/>
      <c r="G174" s="20">
        <f t="shared" ref="G174" si="72">F174*12/10</f>
        <v>0</v>
      </c>
      <c r="H174" s="20">
        <f t="shared" ref="H174" si="73">G174</f>
        <v>0</v>
      </c>
      <c r="I174" s="20" t="e">
        <f>VLOOKUP(A174,#REF!,6,0)</f>
        <v>#REF!</v>
      </c>
      <c r="J174" s="20">
        <v>30000</v>
      </c>
      <c r="K174" s="20">
        <v>30000</v>
      </c>
      <c r="L174" s="20">
        <v>40000</v>
      </c>
      <c r="M174" s="20">
        <f>40000+150000</f>
        <v>190000</v>
      </c>
      <c r="N174" s="20" t="e">
        <f>VLOOKUP(A174,[1]כספי!$A$1:$E$324,5,0)</f>
        <v>#N/A</v>
      </c>
      <c r="O174" s="20">
        <f>-VLOOKUP(A:A,'[1]דוח כספי 31.10'!A:J,9,0)</f>
        <v>0</v>
      </c>
      <c r="P174" s="20">
        <f>-VLOOKUP(A:A,'[1]דוח כספי 31.10'!A:D,4,0)</f>
        <v>0</v>
      </c>
      <c r="Q174" s="20">
        <f t="shared" si="67"/>
        <v>0</v>
      </c>
      <c r="R174" s="69"/>
      <c r="S174" s="12">
        <f t="shared" si="71"/>
        <v>1</v>
      </c>
      <c r="T174" s="22">
        <f t="shared" si="54"/>
        <v>-190000</v>
      </c>
      <c r="AE174" s="23">
        <f t="shared" si="62"/>
        <v>0</v>
      </c>
      <c r="AF174" s="1">
        <v>-91000</v>
      </c>
    </row>
    <row r="175" spans="1:32">
      <c r="A175" s="19">
        <v>1329910710</v>
      </c>
      <c r="B175" s="19" t="str">
        <f t="shared" si="68"/>
        <v>710</v>
      </c>
      <c r="C175" s="19" t="str">
        <f t="shared" si="69"/>
        <v>329910</v>
      </c>
      <c r="D175" s="19" t="s">
        <v>236</v>
      </c>
      <c r="E175" s="20"/>
      <c r="F175" s="20"/>
      <c r="G175" s="20"/>
      <c r="H175" s="20">
        <v>50000</v>
      </c>
      <c r="I175" s="20" t="e">
        <f>VLOOKUP(A175,#REF!,6,0)</f>
        <v>#REF!</v>
      </c>
      <c r="J175" s="20" t="e">
        <f t="shared" si="70"/>
        <v>#REF!</v>
      </c>
      <c r="K175" s="20">
        <v>50000</v>
      </c>
      <c r="L175" s="20">
        <v>0</v>
      </c>
      <c r="M175" s="20">
        <v>0</v>
      </c>
      <c r="N175" s="20" t="e">
        <f>VLOOKUP(A175,[1]כספי!$A$1:$E$324,5,0)</f>
        <v>#N/A</v>
      </c>
      <c r="O175" s="20">
        <f>-VLOOKUP(A:A,'[1]דוח כספי 31.10'!A:J,9,0)</f>
        <v>85000</v>
      </c>
      <c r="P175" s="20">
        <f>-VLOOKUP(A:A,'[1]דוח כספי 31.10'!A:D,4,0)</f>
        <v>0</v>
      </c>
      <c r="Q175" s="20">
        <f t="shared" si="67"/>
        <v>0</v>
      </c>
      <c r="R175" s="69"/>
      <c r="S175" s="12">
        <f t="shared" si="71"/>
        <v>1</v>
      </c>
      <c r="T175" s="22">
        <f t="shared" si="54"/>
        <v>0</v>
      </c>
      <c r="AE175" s="23">
        <f t="shared" si="62"/>
        <v>85000</v>
      </c>
      <c r="AF175" s="1">
        <v>-437000</v>
      </c>
    </row>
    <row r="176" spans="1:32">
      <c r="A176" s="174"/>
      <c r="B176" s="175"/>
      <c r="C176" s="175"/>
      <c r="D176" s="176" t="s">
        <v>249</v>
      </c>
      <c r="E176" s="177">
        <f t="shared" ref="E176:J176" si="74">SUM(E165:E175)</f>
        <v>35000</v>
      </c>
      <c r="F176" s="177">
        <f t="shared" si="74"/>
        <v>8716.67</v>
      </c>
      <c r="G176" s="177">
        <f t="shared" si="74"/>
        <v>70000</v>
      </c>
      <c r="H176" s="177">
        <f t="shared" si="74"/>
        <v>210000</v>
      </c>
      <c r="I176" s="177" t="e">
        <f t="shared" si="74"/>
        <v>#REF!</v>
      </c>
      <c r="J176" s="177" t="e">
        <f t="shared" si="74"/>
        <v>#REF!</v>
      </c>
      <c r="K176" s="177">
        <f t="shared" ref="K176:Q176" si="75">SUM(K163:K175)</f>
        <v>292000</v>
      </c>
      <c r="L176" s="177">
        <f t="shared" si="75"/>
        <v>230085</v>
      </c>
      <c r="M176" s="177">
        <f t="shared" si="75"/>
        <v>202000</v>
      </c>
      <c r="N176" s="177" t="e">
        <f t="shared" si="75"/>
        <v>#N/A</v>
      </c>
      <c r="O176" s="177">
        <f t="shared" si="75"/>
        <v>485000</v>
      </c>
      <c r="P176" s="177">
        <f t="shared" si="75"/>
        <v>141394.72</v>
      </c>
      <c r="Q176" s="177">
        <f t="shared" si="75"/>
        <v>159000</v>
      </c>
      <c r="R176" s="178"/>
      <c r="S176" s="12">
        <f t="shared" si="71"/>
        <v>1</v>
      </c>
      <c r="T176" s="22">
        <f t="shared" si="54"/>
        <v>-60605.279999999999</v>
      </c>
      <c r="AE176" s="23">
        <f t="shared" si="62"/>
        <v>343605.28</v>
      </c>
      <c r="AF176" s="1">
        <v>-226000</v>
      </c>
    </row>
    <row r="177" spans="1:32">
      <c r="A177" s="179"/>
      <c r="B177" s="37" t="s">
        <v>250</v>
      </c>
      <c r="C177" s="37"/>
      <c r="D177" s="37"/>
      <c r="E177" s="37"/>
      <c r="F177" s="37"/>
      <c r="G177" s="37"/>
      <c r="H177" s="38"/>
      <c r="I177" s="20">
        <v>0</v>
      </c>
      <c r="J177" s="20"/>
      <c r="K177" s="20"/>
      <c r="L177" s="20"/>
      <c r="M177" s="20"/>
      <c r="N177" s="20"/>
      <c r="O177" s="20"/>
      <c r="P177" s="20"/>
      <c r="Q177" s="20">
        <f t="shared" ref="Q177" si="76">P177/10*12</f>
        <v>0</v>
      </c>
      <c r="R177" s="69"/>
      <c r="S177" s="12">
        <f t="shared" si="71"/>
        <v>1</v>
      </c>
      <c r="T177" s="22">
        <f t="shared" si="54"/>
        <v>0</v>
      </c>
      <c r="AE177" s="23">
        <f t="shared" si="62"/>
        <v>0</v>
      </c>
      <c r="AF177" s="1">
        <v>-817000</v>
      </c>
    </row>
    <row r="178" spans="1:32">
      <c r="A178" s="19">
        <v>1332300940</v>
      </c>
      <c r="B178" s="19" t="str">
        <f t="shared" ref="B178" si="77">MID(A178,8,3)</f>
        <v>940</v>
      </c>
      <c r="C178" s="19" t="str">
        <f t="shared" ref="C178" si="78">MID(A178,2,6)</f>
        <v>332300</v>
      </c>
      <c r="D178" s="19" t="s">
        <v>251</v>
      </c>
      <c r="E178" s="20">
        <v>20000</v>
      </c>
      <c r="F178" s="20"/>
      <c r="G178" s="20">
        <f>F178*12/10</f>
        <v>0</v>
      </c>
      <c r="H178" s="20">
        <f>G178</f>
        <v>0</v>
      </c>
      <c r="I178" s="20">
        <v>0</v>
      </c>
      <c r="J178" s="20">
        <f t="shared" ref="J178" si="79">+I178*1.71428571428571</f>
        <v>0</v>
      </c>
      <c r="K178" s="20">
        <v>0</v>
      </c>
      <c r="L178" s="20">
        <v>0</v>
      </c>
      <c r="M178" s="20">
        <v>0</v>
      </c>
      <c r="N178" s="69"/>
      <c r="O178" s="20">
        <f>-VLOOKUP(A:A,'[1]דוח כספי 31.10'!A:J,9,0)</f>
        <v>101000</v>
      </c>
      <c r="P178" s="20">
        <f>-VLOOKUP(A:A,'[1]דוח כספי 31.10'!A:D,4,0)</f>
        <v>48797.5</v>
      </c>
      <c r="Q178" s="20">
        <v>59000</v>
      </c>
      <c r="R178" s="69"/>
      <c r="S178" s="12">
        <f t="shared" si="71"/>
        <v>0</v>
      </c>
      <c r="AE178" s="23">
        <f t="shared" si="62"/>
        <v>52202.5</v>
      </c>
      <c r="AF178" s="1">
        <v>-9000</v>
      </c>
    </row>
    <row r="179" spans="1:32">
      <c r="A179" s="174"/>
      <c r="B179" s="175"/>
      <c r="C179" s="175"/>
      <c r="D179" s="176" t="s">
        <v>252</v>
      </c>
      <c r="E179" s="177">
        <f>SUM(E178)</f>
        <v>20000</v>
      </c>
      <c r="F179" s="177">
        <f>SUM(F178)</f>
        <v>0</v>
      </c>
      <c r="G179" s="177">
        <f>SUM(G178)</f>
        <v>0</v>
      </c>
      <c r="H179" s="177">
        <f>SUM(H178)</f>
        <v>0</v>
      </c>
      <c r="I179" s="177">
        <f>SUM(I178)</f>
        <v>0</v>
      </c>
      <c r="J179" s="177">
        <f t="shared" ref="J179:Q179" si="80">SUM(J178)</f>
        <v>0</v>
      </c>
      <c r="K179" s="177">
        <f t="shared" si="80"/>
        <v>0</v>
      </c>
      <c r="L179" s="177">
        <f t="shared" si="80"/>
        <v>0</v>
      </c>
      <c r="M179" s="177">
        <f t="shared" si="80"/>
        <v>0</v>
      </c>
      <c r="N179" s="177">
        <f t="shared" si="80"/>
        <v>0</v>
      </c>
      <c r="O179" s="177">
        <f t="shared" si="80"/>
        <v>101000</v>
      </c>
      <c r="P179" s="177">
        <f t="shared" si="80"/>
        <v>48797.5</v>
      </c>
      <c r="Q179" s="177">
        <f t="shared" si="80"/>
        <v>59000</v>
      </c>
      <c r="R179" s="178"/>
      <c r="S179" s="12">
        <f t="shared" si="71"/>
        <v>1</v>
      </c>
      <c r="T179" s="22">
        <f t="shared" ref="T179:T242" si="81">+P179-M179</f>
        <v>48797.5</v>
      </c>
      <c r="AE179" s="23">
        <f t="shared" si="62"/>
        <v>52202.5</v>
      </c>
      <c r="AF179" s="1">
        <v>-213000</v>
      </c>
    </row>
    <row r="180" spans="1:32">
      <c r="A180" s="179"/>
      <c r="B180" s="37" t="s">
        <v>253</v>
      </c>
      <c r="C180" s="37"/>
      <c r="D180" s="37"/>
      <c r="E180" s="37"/>
      <c r="F180" s="37"/>
      <c r="G180" s="37"/>
      <c r="H180" s="38"/>
      <c r="I180" s="20"/>
      <c r="J180" s="20"/>
      <c r="K180" s="20"/>
      <c r="L180" s="20"/>
      <c r="M180" s="20"/>
      <c r="N180" s="20"/>
      <c r="O180" s="20"/>
      <c r="P180" s="20"/>
      <c r="Q180" s="20">
        <f t="shared" ref="Q180:Q183" si="82">P180/10*12</f>
        <v>0</v>
      </c>
      <c r="R180" s="69"/>
      <c r="S180" s="12">
        <f t="shared" si="71"/>
        <v>1</v>
      </c>
      <c r="T180" s="22">
        <f t="shared" si="81"/>
        <v>0</v>
      </c>
      <c r="AE180" s="23">
        <f t="shared" si="62"/>
        <v>0</v>
      </c>
      <c r="AF180" s="1">
        <v>0</v>
      </c>
    </row>
    <row r="181" spans="1:32">
      <c r="A181" s="19">
        <v>1341000930</v>
      </c>
      <c r="B181" s="19" t="str">
        <f t="shared" ref="B181:B183" si="83">MID(A181,8,3)</f>
        <v>930</v>
      </c>
      <c r="C181" s="19" t="str">
        <f t="shared" ref="C181:C183" si="84">MID(A181,2,6)</f>
        <v>341000</v>
      </c>
      <c r="D181" s="19" t="s">
        <v>254</v>
      </c>
      <c r="E181" s="20">
        <v>631000</v>
      </c>
      <c r="F181" s="20">
        <v>535731</v>
      </c>
      <c r="G181" s="20">
        <f>F181*12/10</f>
        <v>642877.19999999995</v>
      </c>
      <c r="H181" s="20">
        <v>650000</v>
      </c>
      <c r="I181" s="20" t="e">
        <f>VLOOKUP(A181,#REF!,6,0)</f>
        <v>#REF!</v>
      </c>
      <c r="J181" s="20" t="e">
        <f t="shared" ref="J181" si="85">+I181*1.71428571428571</f>
        <v>#REF!</v>
      </c>
      <c r="K181" s="20">
        <v>650000</v>
      </c>
      <c r="L181" s="20">
        <v>650000</v>
      </c>
      <c r="M181" s="20">
        <v>650000</v>
      </c>
      <c r="N181" s="20">
        <f>VLOOKUP(A181,[1]כספי!$A$1:$E$324,5,0)</f>
        <v>309547</v>
      </c>
      <c r="O181" s="20">
        <f>-VLOOKUP(A:A,'[1]דוח כספי 31.10'!A:J,9,0)</f>
        <v>964000</v>
      </c>
      <c r="P181" s="20">
        <f>-VLOOKUP(A:A,'[1]דוח כספי 31.10'!A:D,4,0)</f>
        <v>797683</v>
      </c>
      <c r="Q181" s="20">
        <v>957000</v>
      </c>
      <c r="R181" s="69"/>
      <c r="S181" s="12">
        <f t="shared" si="71"/>
        <v>1</v>
      </c>
      <c r="T181" s="22">
        <f t="shared" si="81"/>
        <v>147683</v>
      </c>
      <c r="AE181" s="23">
        <f t="shared" si="62"/>
        <v>166317</v>
      </c>
      <c r="AF181" s="1">
        <v>-430000</v>
      </c>
    </row>
    <row r="182" spans="1:32">
      <c r="A182" s="19">
        <v>1341100930</v>
      </c>
      <c r="B182" s="19" t="str">
        <f t="shared" si="83"/>
        <v>930</v>
      </c>
      <c r="C182" s="19" t="str">
        <f t="shared" si="84"/>
        <v>341100</v>
      </c>
      <c r="D182" s="19" t="s">
        <v>255</v>
      </c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>
        <f>-VLOOKUP(A:A,'[1]דוח כספי 31.10'!A:J,9,0)</f>
        <v>4000</v>
      </c>
      <c r="P182" s="20">
        <f>-VLOOKUP(A:A,'[1]דוח כספי 31.10'!A:D,4,0)</f>
        <v>0</v>
      </c>
      <c r="Q182" s="20">
        <f t="shared" si="82"/>
        <v>0</v>
      </c>
      <c r="R182" s="69"/>
      <c r="S182" s="12"/>
      <c r="T182" s="22"/>
      <c r="AE182" s="23">
        <f t="shared" si="62"/>
        <v>4000</v>
      </c>
      <c r="AF182" s="1">
        <v>-566000</v>
      </c>
    </row>
    <row r="183" spans="1:32">
      <c r="A183" s="19">
        <v>1341200930</v>
      </c>
      <c r="B183" s="19" t="str">
        <f t="shared" si="83"/>
        <v>930</v>
      </c>
      <c r="C183" s="19" t="str">
        <f t="shared" si="84"/>
        <v>341200</v>
      </c>
      <c r="D183" s="19" t="s">
        <v>256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>
        <f>-VLOOKUP(A:A,'[1]דוח כספי 31.10'!A:J,9,0)</f>
        <v>0</v>
      </c>
      <c r="P183" s="20">
        <f>-VLOOKUP(A:A,'[1]דוח כספי 31.10'!A:D,4,0)</f>
        <v>0</v>
      </c>
      <c r="Q183" s="20">
        <f t="shared" si="82"/>
        <v>0</v>
      </c>
      <c r="R183" s="69"/>
      <c r="S183" s="12"/>
      <c r="T183" s="22"/>
      <c r="AE183" s="23">
        <f t="shared" si="62"/>
        <v>0</v>
      </c>
      <c r="AF183" s="1">
        <v>0</v>
      </c>
    </row>
    <row r="184" spans="1:32">
      <c r="A184" s="169"/>
      <c r="B184" s="170"/>
      <c r="C184" s="170"/>
      <c r="D184" s="171" t="s">
        <v>257</v>
      </c>
      <c r="E184" s="172">
        <f t="shared" ref="E184:N184" si="86">SUM(E181:E181)</f>
        <v>631000</v>
      </c>
      <c r="F184" s="172">
        <f t="shared" si="86"/>
        <v>535731</v>
      </c>
      <c r="G184" s="172">
        <f t="shared" si="86"/>
        <v>642877.19999999995</v>
      </c>
      <c r="H184" s="172">
        <f t="shared" si="86"/>
        <v>650000</v>
      </c>
      <c r="I184" s="172" t="e">
        <f t="shared" si="86"/>
        <v>#REF!</v>
      </c>
      <c r="J184" s="172" t="e">
        <f t="shared" si="86"/>
        <v>#REF!</v>
      </c>
      <c r="K184" s="172">
        <f t="shared" si="86"/>
        <v>650000</v>
      </c>
      <c r="L184" s="172">
        <f t="shared" si="86"/>
        <v>650000</v>
      </c>
      <c r="M184" s="172">
        <f t="shared" si="86"/>
        <v>650000</v>
      </c>
      <c r="N184" s="172">
        <f t="shared" si="86"/>
        <v>309547</v>
      </c>
      <c r="O184" s="172">
        <f>SUM(O181:O183)</f>
        <v>968000</v>
      </c>
      <c r="P184" s="172">
        <f t="shared" ref="P184:Q184" si="87">SUM(P181:P183)</f>
        <v>797683</v>
      </c>
      <c r="Q184" s="172">
        <f t="shared" si="87"/>
        <v>957000</v>
      </c>
      <c r="R184" s="173"/>
      <c r="S184" s="12">
        <f t="shared" si="71"/>
        <v>1</v>
      </c>
      <c r="T184" s="22">
        <f t="shared" si="81"/>
        <v>147683</v>
      </c>
      <c r="AE184" s="23">
        <f t="shared" si="62"/>
        <v>170317</v>
      </c>
      <c r="AF184" s="1">
        <v>-19000</v>
      </c>
    </row>
    <row r="185" spans="1:32">
      <c r="A185" s="19">
        <v>1342200930</v>
      </c>
      <c r="B185" s="19" t="str">
        <f t="shared" ref="B185:B195" si="88">MID(A185,8,3)</f>
        <v>930</v>
      </c>
      <c r="C185" s="19" t="str">
        <f t="shared" ref="C185:C195" si="89">MID(A185,2,6)</f>
        <v>342200</v>
      </c>
      <c r="D185" s="19" t="s">
        <v>260</v>
      </c>
      <c r="E185" s="20">
        <v>22000</v>
      </c>
      <c r="F185" s="20">
        <v>13081</v>
      </c>
      <c r="G185" s="20">
        <f>F185*12/10</f>
        <v>15697.2</v>
      </c>
      <c r="H185" s="20">
        <f>G185</f>
        <v>15697.2</v>
      </c>
      <c r="I185" s="20" t="e">
        <f>VLOOKUP(A185,#REF!,6,0)</f>
        <v>#REF!</v>
      </c>
      <c r="J185" s="20" t="e">
        <f t="shared" ref="J185:J215" si="90">+I185*1.71428571428571</f>
        <v>#REF!</v>
      </c>
      <c r="K185" s="20">
        <v>11254</v>
      </c>
      <c r="L185" s="20">
        <v>13300</v>
      </c>
      <c r="M185" s="20">
        <v>13300</v>
      </c>
      <c r="N185" s="20">
        <f>VLOOKUP(A185,[1]כספי!$A$1:$E$324,5,0)</f>
        <v>12534</v>
      </c>
      <c r="O185" s="20">
        <f>-VLOOKUP(A:A,'[1]דוח כספי 31.10'!A:J,9,0)</f>
        <v>79000</v>
      </c>
      <c r="P185" s="20">
        <f>-VLOOKUP(A:A,'[1]דוח כספי 31.10'!A:D,4,0)</f>
        <v>139402</v>
      </c>
      <c r="Q185" s="20">
        <v>167000</v>
      </c>
      <c r="R185" s="69"/>
      <c r="S185" s="12">
        <f t="shared" si="71"/>
        <v>1</v>
      </c>
      <c r="T185" s="22">
        <f t="shared" si="81"/>
        <v>126102</v>
      </c>
      <c r="AE185" s="23">
        <f t="shared" si="62"/>
        <v>-60402</v>
      </c>
      <c r="AF185" s="1">
        <v>-502000</v>
      </c>
    </row>
    <row r="186" spans="1:32">
      <c r="A186" s="19">
        <v>1342210220</v>
      </c>
      <c r="B186" s="19" t="str">
        <f t="shared" si="88"/>
        <v>220</v>
      </c>
      <c r="C186" s="19" t="str">
        <f t="shared" si="89"/>
        <v>342210</v>
      </c>
      <c r="D186" s="19" t="s">
        <v>264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 t="e">
        <f>VLOOKUP(A186,[1]כספי!$A$1:$E$324,5,0)</f>
        <v>#N/A</v>
      </c>
      <c r="O186" s="20">
        <f>-VLOOKUP(A:A,'[1]דוח כספי 31.10'!A:J,9,0)</f>
        <v>0</v>
      </c>
      <c r="P186" s="20">
        <f>-VLOOKUP(A:A,'[1]דוח כספי 31.10'!A:D,4,0)</f>
        <v>0</v>
      </c>
      <c r="Q186" s="20">
        <f t="shared" ref="Q186:Q195" si="91">P186/10*12</f>
        <v>0</v>
      </c>
      <c r="R186" s="69"/>
      <c r="S186" s="12"/>
      <c r="T186" s="22">
        <f t="shared" si="81"/>
        <v>0</v>
      </c>
      <c r="AE186" s="23">
        <f t="shared" si="62"/>
        <v>0</v>
      </c>
      <c r="AF186" s="1">
        <v>-10000</v>
      </c>
    </row>
    <row r="187" spans="1:32">
      <c r="A187" s="19">
        <v>1342210930</v>
      </c>
      <c r="B187" s="19" t="str">
        <f t="shared" si="88"/>
        <v>930</v>
      </c>
      <c r="C187" s="19" t="str">
        <f t="shared" si="89"/>
        <v>342210</v>
      </c>
      <c r="D187" s="19" t="s">
        <v>265</v>
      </c>
      <c r="E187" s="20">
        <v>18000</v>
      </c>
      <c r="F187" s="20">
        <v>3297</v>
      </c>
      <c r="G187" s="20">
        <f>F187*12/10</f>
        <v>3956.4</v>
      </c>
      <c r="H187" s="20">
        <f>G187</f>
        <v>3956.4</v>
      </c>
      <c r="I187" s="20" t="e">
        <f>VLOOKUP(A187,#REF!,6,0)</f>
        <v>#REF!</v>
      </c>
      <c r="J187" s="20" t="e">
        <f t="shared" si="90"/>
        <v>#REF!</v>
      </c>
      <c r="K187" s="20">
        <v>9750</v>
      </c>
      <c r="L187" s="20">
        <v>8300</v>
      </c>
      <c r="M187" s="20">
        <v>8300</v>
      </c>
      <c r="N187" s="20" t="e">
        <f>VLOOKUP(A187,[1]כספי!$A$1:$E$324,5,0)</f>
        <v>#N/A</v>
      </c>
      <c r="O187" s="20">
        <f>-VLOOKUP(A:A,'[1]דוח כספי 31.10'!A:J,9,0)</f>
        <v>0</v>
      </c>
      <c r="P187" s="20">
        <f>-VLOOKUP(A:A,'[1]דוח כספי 31.10'!A:D,4,0)</f>
        <v>0</v>
      </c>
      <c r="Q187" s="20">
        <f t="shared" si="91"/>
        <v>0</v>
      </c>
      <c r="R187" s="69"/>
      <c r="S187" s="12">
        <f>IF(ISBLANK(A187),1,--OR(K187&gt;1,L187&gt;1,M187&gt;1))</f>
        <v>1</v>
      </c>
      <c r="T187" s="22">
        <f t="shared" si="81"/>
        <v>-8300</v>
      </c>
      <c r="AE187" s="23">
        <f t="shared" si="62"/>
        <v>0</v>
      </c>
      <c r="AF187" s="1">
        <v>0</v>
      </c>
    </row>
    <row r="188" spans="1:32">
      <c r="A188" s="186">
        <v>1342220930</v>
      </c>
      <c r="B188" s="19" t="str">
        <f t="shared" si="88"/>
        <v>930</v>
      </c>
      <c r="C188" s="19" t="str">
        <f t="shared" si="89"/>
        <v>342220</v>
      </c>
      <c r="D188" s="19" t="s">
        <v>261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>
        <f>-VLOOKUP(A:A,'[1]דוח כספי 31.10'!A:J,9,0)</f>
        <v>79000</v>
      </c>
      <c r="P188" s="20">
        <f>-VLOOKUP(A:A,'[1]דוח כספי 31.10'!A:D,4,0)</f>
        <v>170740</v>
      </c>
      <c r="Q188" s="20">
        <v>205000</v>
      </c>
      <c r="R188" s="69"/>
      <c r="S188" s="12"/>
      <c r="T188" s="22"/>
      <c r="AE188" s="23">
        <f t="shared" si="62"/>
        <v>-91740</v>
      </c>
      <c r="AF188" s="1">
        <v>-82000</v>
      </c>
    </row>
    <row r="189" spans="1:32">
      <c r="A189" s="186">
        <v>1342221930</v>
      </c>
      <c r="B189" s="19" t="str">
        <f t="shared" si="88"/>
        <v>930</v>
      </c>
      <c r="C189" s="19" t="str">
        <f t="shared" si="89"/>
        <v>342221</v>
      </c>
      <c r="D189" s="19" t="s">
        <v>266</v>
      </c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>
        <f>-VLOOKUP(A:A,'[1]דוח כספי 31.10'!A:J,9,0)</f>
        <v>190000</v>
      </c>
      <c r="P189" s="20">
        <f>-VLOOKUP(A:A,'[1]דוח כספי 31.10'!A:D,4,0)</f>
        <v>183794</v>
      </c>
      <c r="Q189" s="20">
        <v>220000</v>
      </c>
      <c r="R189" s="69"/>
      <c r="S189" s="12"/>
      <c r="T189" s="22"/>
      <c r="AE189" s="23">
        <f t="shared" si="62"/>
        <v>6206</v>
      </c>
      <c r="AF189" s="1">
        <v>-40000</v>
      </c>
    </row>
    <row r="190" spans="1:32">
      <c r="A190" s="186">
        <v>1342222930</v>
      </c>
      <c r="B190" s="19" t="str">
        <f t="shared" si="88"/>
        <v>930</v>
      </c>
      <c r="C190" s="19" t="str">
        <f t="shared" si="89"/>
        <v>342222</v>
      </c>
      <c r="D190" s="19" t="s">
        <v>267</v>
      </c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>
        <f>-VLOOKUP(A:A,'[1]דוח כספי 31.10'!A:J,9,0)</f>
        <v>0</v>
      </c>
      <c r="P190" s="20">
        <f>-VLOOKUP(A:A,'[1]דוח כספי 31.10'!A:D,4,0)</f>
        <v>0</v>
      </c>
      <c r="Q190" s="20">
        <f t="shared" si="91"/>
        <v>0</v>
      </c>
      <c r="R190" s="69"/>
      <c r="S190" s="12"/>
      <c r="T190" s="22"/>
      <c r="AE190" s="23">
        <f t="shared" si="62"/>
        <v>0</v>
      </c>
      <c r="AF190" s="1">
        <v>-167000</v>
      </c>
    </row>
    <row r="191" spans="1:32">
      <c r="A191" s="186">
        <v>1342230930</v>
      </c>
      <c r="B191" s="19" t="str">
        <f t="shared" si="88"/>
        <v>930</v>
      </c>
      <c r="C191" s="19" t="str">
        <f t="shared" si="89"/>
        <v>342230</v>
      </c>
      <c r="D191" s="19" t="s">
        <v>268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>
        <f>-VLOOKUP(A:A,'[1]דוח כספי 31.10'!A:J,9,0)</f>
        <v>144000</v>
      </c>
      <c r="P191" s="20">
        <f>-VLOOKUP(A:A,'[1]דוח כספי 31.10'!A:D,4,0)</f>
        <v>0</v>
      </c>
      <c r="Q191" s="20">
        <f t="shared" si="91"/>
        <v>0</v>
      </c>
      <c r="R191" s="69"/>
      <c r="S191" s="12"/>
      <c r="T191" s="22"/>
      <c r="AE191" s="23">
        <f t="shared" si="62"/>
        <v>144000</v>
      </c>
      <c r="AF191" s="1">
        <v>-4000</v>
      </c>
    </row>
    <row r="192" spans="1:32">
      <c r="A192" s="186">
        <v>1342300930</v>
      </c>
      <c r="B192" s="19" t="str">
        <f t="shared" si="88"/>
        <v>930</v>
      </c>
      <c r="C192" s="19" t="str">
        <f t="shared" si="89"/>
        <v>342300</v>
      </c>
      <c r="D192" s="19" t="s">
        <v>269</v>
      </c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>
        <f>-VLOOKUP(A:A,'[1]דוח כספי 31.10'!A:J,9,0)</f>
        <v>194000</v>
      </c>
      <c r="P192" s="20">
        <f>-VLOOKUP(A:A,'[1]דוח כספי 31.10'!A:D,4,0)</f>
        <v>152231</v>
      </c>
      <c r="Q192" s="20">
        <v>183000</v>
      </c>
      <c r="R192" s="69"/>
      <c r="S192" s="12"/>
      <c r="T192" s="22"/>
      <c r="AE192" s="23">
        <f t="shared" si="62"/>
        <v>41769</v>
      </c>
      <c r="AF192" s="1">
        <v>0</v>
      </c>
    </row>
    <row r="193" spans="1:32">
      <c r="A193" s="186">
        <v>1342500930</v>
      </c>
      <c r="B193" s="19" t="str">
        <f t="shared" si="88"/>
        <v>930</v>
      </c>
      <c r="C193" s="19" t="str">
        <f t="shared" si="89"/>
        <v>342500</v>
      </c>
      <c r="D193" s="19" t="s">
        <v>270</v>
      </c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>
        <f>-VLOOKUP(A:A,'[1]דוח כספי 31.10'!A:J,9,0)</f>
        <v>27000</v>
      </c>
      <c r="P193" s="20">
        <f>-VLOOKUP(A:A,'[1]דוח כספי 31.10'!A:D,4,0)</f>
        <v>16820</v>
      </c>
      <c r="Q193" s="20">
        <v>20000</v>
      </c>
      <c r="R193" s="69"/>
      <c r="S193" s="12"/>
      <c r="T193" s="22"/>
      <c r="AE193" s="23">
        <f t="shared" si="62"/>
        <v>10180</v>
      </c>
      <c r="AF193" s="1">
        <v>0</v>
      </c>
    </row>
    <row r="194" spans="1:32">
      <c r="A194" s="186">
        <v>1342600930</v>
      </c>
      <c r="B194" s="19" t="str">
        <f t="shared" si="88"/>
        <v>930</v>
      </c>
      <c r="C194" s="19" t="str">
        <f t="shared" si="89"/>
        <v>342600</v>
      </c>
      <c r="D194" s="19" t="s">
        <v>272</v>
      </c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>
        <f>-VLOOKUP(A:A,'[1]דוח כספי 31.10'!A:J,9,0)</f>
        <v>1333000</v>
      </c>
      <c r="P194" s="20">
        <v>1085000</v>
      </c>
      <c r="Q194" s="20">
        <f t="shared" si="91"/>
        <v>1302000</v>
      </c>
      <c r="R194" s="69"/>
      <c r="S194" s="12"/>
      <c r="T194" s="22"/>
      <c r="AE194" s="23">
        <f t="shared" si="62"/>
        <v>248000</v>
      </c>
      <c r="AF194" s="1">
        <v>0</v>
      </c>
    </row>
    <row r="195" spans="1:32">
      <c r="A195" s="186">
        <v>1342650930</v>
      </c>
      <c r="B195" s="19" t="str">
        <f t="shared" si="88"/>
        <v>930</v>
      </c>
      <c r="C195" s="19" t="str">
        <f t="shared" si="89"/>
        <v>342650</v>
      </c>
      <c r="D195" s="19" t="s">
        <v>273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>
        <f>-VLOOKUP(A:A,'[1]דוח כספי 31.10'!A:J,9,0)</f>
        <v>0</v>
      </c>
      <c r="P195" s="20">
        <f>-VLOOKUP(A:A,'[1]דוח כספי 31.10'!A:D,4,0)</f>
        <v>0</v>
      </c>
      <c r="Q195" s="20">
        <f t="shared" si="91"/>
        <v>0</v>
      </c>
      <c r="R195" s="69"/>
      <c r="S195" s="12"/>
      <c r="T195" s="22"/>
      <c r="AE195" s="23">
        <f t="shared" si="62"/>
        <v>0</v>
      </c>
      <c r="AF195" s="1">
        <v>0</v>
      </c>
    </row>
    <row r="196" spans="1:32">
      <c r="A196" s="169"/>
      <c r="B196" s="170"/>
      <c r="C196" s="170"/>
      <c r="D196" s="171" t="s">
        <v>274</v>
      </c>
      <c r="E196" s="172">
        <f t="shared" ref="E196:J196" si="92">SUM(E185:E187)</f>
        <v>40000</v>
      </c>
      <c r="F196" s="172">
        <f t="shared" si="92"/>
        <v>16378</v>
      </c>
      <c r="G196" s="172">
        <f t="shared" si="92"/>
        <v>19653.600000000002</v>
      </c>
      <c r="H196" s="172">
        <f t="shared" si="92"/>
        <v>19653.600000000002</v>
      </c>
      <c r="I196" s="172" t="e">
        <f t="shared" si="92"/>
        <v>#REF!</v>
      </c>
      <c r="J196" s="172" t="e">
        <f t="shared" si="92"/>
        <v>#REF!</v>
      </c>
      <c r="K196" s="172">
        <f>SUM(K185:K195)</f>
        <v>21004</v>
      </c>
      <c r="L196" s="172">
        <f>SUM(L185:L195)</f>
        <v>21600</v>
      </c>
      <c r="M196" s="172">
        <f>SUM(M185:M195)</f>
        <v>21600</v>
      </c>
      <c r="N196" s="172" t="e">
        <f>SUM(N185:N195)</f>
        <v>#N/A</v>
      </c>
      <c r="O196" s="172">
        <f>SUM(O185:O195)</f>
        <v>2046000</v>
      </c>
      <c r="P196" s="172">
        <f t="shared" ref="P196:Q196" si="93">SUM(P185:P195)</f>
        <v>1747987</v>
      </c>
      <c r="Q196" s="172">
        <f t="shared" si="93"/>
        <v>2097000</v>
      </c>
      <c r="R196" s="173"/>
      <c r="S196" s="12">
        <f t="shared" ref="S196:S215" si="94">IF(ISBLANK(A196),1,--OR(K196&gt;1,L196&gt;1,M196&gt;1))</f>
        <v>1</v>
      </c>
      <c r="T196" s="22">
        <f t="shared" si="81"/>
        <v>1726387</v>
      </c>
      <c r="AE196" s="23">
        <f t="shared" si="62"/>
        <v>298013</v>
      </c>
      <c r="AF196" s="1">
        <v>0</v>
      </c>
    </row>
    <row r="197" spans="1:32">
      <c r="A197" s="19">
        <v>1343500220</v>
      </c>
      <c r="B197" s="19" t="str">
        <f t="shared" ref="B197:B201" si="95">MID(A197,8,3)</f>
        <v>220</v>
      </c>
      <c r="C197" s="19" t="str">
        <f t="shared" ref="C197:C201" si="96">MID(A197,2,6)</f>
        <v>343500</v>
      </c>
      <c r="D197" s="19" t="s">
        <v>281</v>
      </c>
      <c r="E197" s="20">
        <v>515000</v>
      </c>
      <c r="F197" s="20">
        <v>236153</v>
      </c>
      <c r="G197" s="20">
        <f>314987+78834</f>
        <v>393821</v>
      </c>
      <c r="H197" s="20">
        <v>410000</v>
      </c>
      <c r="I197" s="20" t="e">
        <f>VLOOKUP(A197,#REF!,6,0)</f>
        <v>#REF!</v>
      </c>
      <c r="J197" s="20" t="e">
        <f t="shared" si="90"/>
        <v>#REF!</v>
      </c>
      <c r="K197" s="20">
        <v>410000</v>
      </c>
      <c r="L197" s="20">
        <v>400000</v>
      </c>
      <c r="M197" s="20">
        <v>400000</v>
      </c>
      <c r="N197" s="20" t="e">
        <f>VLOOKUP(A197,[1]כספי!$A$1:$E$324,5,0)</f>
        <v>#N/A</v>
      </c>
      <c r="O197" s="20">
        <f>-VLOOKUP(A:A,'[1]דוח כספי 31.10'!A:J,9,0)</f>
        <v>13000</v>
      </c>
      <c r="P197" s="20">
        <f>-VLOOKUP(A:A,'[1]דוח כספי 31.10'!A:D,4,0)</f>
        <v>0</v>
      </c>
      <c r="Q197" s="20">
        <f t="shared" ref="Q197" si="97">P197/10*12</f>
        <v>0</v>
      </c>
      <c r="R197" s="69"/>
      <c r="S197" s="12">
        <f t="shared" si="94"/>
        <v>1</v>
      </c>
      <c r="T197" s="22">
        <f t="shared" si="81"/>
        <v>-400000</v>
      </c>
      <c r="AE197" s="23">
        <f t="shared" ref="AE197:AE250" si="98">O197-P197</f>
        <v>13000</v>
      </c>
      <c r="AF197" s="1">
        <v>-2213000</v>
      </c>
    </row>
    <row r="198" spans="1:32">
      <c r="A198" s="19">
        <v>1343500930</v>
      </c>
      <c r="B198" s="19" t="str">
        <f t="shared" si="95"/>
        <v>930</v>
      </c>
      <c r="C198" s="19" t="str">
        <f t="shared" si="96"/>
        <v>343500</v>
      </c>
      <c r="D198" s="19" t="s">
        <v>282</v>
      </c>
      <c r="E198" s="20"/>
      <c r="F198" s="20"/>
      <c r="G198" s="20"/>
      <c r="H198" s="20"/>
      <c r="I198" s="20">
        <v>739</v>
      </c>
      <c r="J198" s="20">
        <f t="shared" si="90"/>
        <v>1266.8571428571397</v>
      </c>
      <c r="K198" s="20">
        <v>2177</v>
      </c>
      <c r="L198" s="20">
        <v>1300</v>
      </c>
      <c r="M198" s="20">
        <v>1300</v>
      </c>
      <c r="N198" s="20" t="e">
        <f>VLOOKUP(A198,[1]כספי!$A$1:$E$324,5,0)</f>
        <v>#N/A</v>
      </c>
      <c r="O198" s="20">
        <f>-VLOOKUP(A:A,'[1]דוח כספי 31.10'!A:J,9,0)</f>
        <v>91000</v>
      </c>
      <c r="P198" s="20">
        <f>-VLOOKUP(A:A,'[1]דוח כספי 31.10'!A:D,4,0)</f>
        <v>19381</v>
      </c>
      <c r="Q198" s="20">
        <v>23000</v>
      </c>
      <c r="R198" s="69"/>
      <c r="S198" s="12">
        <f t="shared" si="94"/>
        <v>1</v>
      </c>
      <c r="T198" s="22">
        <f t="shared" si="81"/>
        <v>18081</v>
      </c>
      <c r="AE198" s="23">
        <f t="shared" si="98"/>
        <v>71619</v>
      </c>
      <c r="AF198" s="1">
        <v>-1405000</v>
      </c>
    </row>
    <row r="199" spans="1:32">
      <c r="A199" s="19">
        <v>1343510930</v>
      </c>
      <c r="B199" s="19" t="str">
        <f t="shared" si="95"/>
        <v>930</v>
      </c>
      <c r="C199" s="19" t="str">
        <f t="shared" si="96"/>
        <v>343510</v>
      </c>
      <c r="D199" s="19" t="s">
        <v>278</v>
      </c>
      <c r="E199" s="20">
        <v>294000</v>
      </c>
      <c r="F199" s="20">
        <v>424094</v>
      </c>
      <c r="G199" s="20">
        <f>F199*12/10</f>
        <v>508912.8</v>
      </c>
      <c r="H199" s="20">
        <v>520000</v>
      </c>
      <c r="I199" s="20" t="e">
        <f>VLOOKUP(A199,#REF!,6,0)</f>
        <v>#REF!</v>
      </c>
      <c r="J199" s="20" t="e">
        <f t="shared" si="90"/>
        <v>#REF!</v>
      </c>
      <c r="K199" s="20">
        <v>375000</v>
      </c>
      <c r="L199" s="20">
        <v>376000</v>
      </c>
      <c r="M199" s="20">
        <v>376000</v>
      </c>
      <c r="N199" s="20">
        <f>VLOOKUP(A199,[1]כספי!$A$1:$E$324,5,0)</f>
        <v>276</v>
      </c>
      <c r="O199" s="20">
        <f>-VLOOKUP(A:A,'[1]דוח כספי 31.10'!A:J,9,0)</f>
        <v>437000</v>
      </c>
      <c r="P199" s="20">
        <f>-VLOOKUP(A:A,'[1]דוח כספי 31.10'!A:D,4,0)</f>
        <v>339199</v>
      </c>
      <c r="Q199" s="20">
        <v>407000</v>
      </c>
      <c r="R199" s="69"/>
      <c r="S199" s="12">
        <f t="shared" si="94"/>
        <v>1</v>
      </c>
      <c r="T199" s="22">
        <f t="shared" si="81"/>
        <v>-36801</v>
      </c>
      <c r="AE199" s="23">
        <f t="shared" si="98"/>
        <v>97801</v>
      </c>
      <c r="AF199" s="1">
        <v>-58000</v>
      </c>
    </row>
    <row r="200" spans="1:32">
      <c r="A200" s="19">
        <v>1343800930</v>
      </c>
      <c r="B200" s="19" t="str">
        <f t="shared" si="95"/>
        <v>930</v>
      </c>
      <c r="C200" s="19" t="str">
        <f t="shared" si="96"/>
        <v>343800</v>
      </c>
      <c r="D200" s="19" t="s">
        <v>276</v>
      </c>
      <c r="E200" s="20"/>
      <c r="F200" s="20">
        <v>24010</v>
      </c>
      <c r="G200" s="20">
        <f>F200*12/10</f>
        <v>28812</v>
      </c>
      <c r="H200" s="20">
        <v>30000</v>
      </c>
      <c r="I200" s="20" t="e">
        <f>VLOOKUP(A200,#REF!,6,0)</f>
        <v>#REF!</v>
      </c>
      <c r="J200" s="20" t="e">
        <f t="shared" si="90"/>
        <v>#REF!</v>
      </c>
      <c r="K200" s="20">
        <v>20000</v>
      </c>
      <c r="L200" s="20">
        <v>30000</v>
      </c>
      <c r="M200" s="20">
        <v>30000</v>
      </c>
      <c r="N200" s="20">
        <f>VLOOKUP(A200,[1]כספי!$A$1:$E$324,5,0)</f>
        <v>310351</v>
      </c>
      <c r="O200" s="20">
        <f>-VLOOKUP(A:A,'[1]דוח כספי 31.10'!A:J,9,0)</f>
        <v>226000</v>
      </c>
      <c r="P200" s="20">
        <f>-VLOOKUP(A:A,'[1]דוח כספי 31.10'!A:D,4,0)</f>
        <v>596859</v>
      </c>
      <c r="Q200" s="20">
        <v>716000</v>
      </c>
      <c r="R200" s="69"/>
      <c r="S200" s="12">
        <f t="shared" si="94"/>
        <v>1</v>
      </c>
      <c r="T200" s="22">
        <f t="shared" si="81"/>
        <v>566859</v>
      </c>
      <c r="AE200" s="23">
        <f t="shared" si="98"/>
        <v>-370859</v>
      </c>
      <c r="AF200" s="1">
        <v>-48000</v>
      </c>
    </row>
    <row r="201" spans="1:32">
      <c r="A201" s="19">
        <v>1343900930</v>
      </c>
      <c r="B201" s="19" t="str">
        <f t="shared" si="95"/>
        <v>930</v>
      </c>
      <c r="C201" s="19" t="str">
        <f t="shared" si="96"/>
        <v>343900</v>
      </c>
      <c r="D201" s="19" t="s">
        <v>285</v>
      </c>
      <c r="E201" s="20">
        <v>268000</v>
      </c>
      <c r="F201" s="20">
        <v>190188</v>
      </c>
      <c r="G201" s="20">
        <f>236147+45000</f>
        <v>281147</v>
      </c>
      <c r="H201" s="20">
        <v>290000</v>
      </c>
      <c r="I201" s="20" t="e">
        <f>VLOOKUP(A201,#REF!,6,0)</f>
        <v>#REF!</v>
      </c>
      <c r="J201" s="20" t="e">
        <f t="shared" si="90"/>
        <v>#REF!</v>
      </c>
      <c r="K201" s="20">
        <v>283500</v>
      </c>
      <c r="L201" s="20">
        <v>280000</v>
      </c>
      <c r="M201" s="20">
        <v>280000</v>
      </c>
      <c r="N201" s="20">
        <f>VLOOKUP(A201,[1]כספי!$A$1:$E$324,5,0)</f>
        <v>204802</v>
      </c>
      <c r="O201" s="20">
        <f>-VLOOKUP(A:A,'[1]דוח כספי 31.10'!A:J,9,0)</f>
        <v>817000</v>
      </c>
      <c r="P201" s="20">
        <f>-VLOOKUP(A:A,'[1]דוח כספי 31.10'!A:D,4,0)</f>
        <v>204080</v>
      </c>
      <c r="Q201" s="20">
        <v>245000</v>
      </c>
      <c r="R201" s="69"/>
      <c r="S201" s="12">
        <f t="shared" si="94"/>
        <v>1</v>
      </c>
      <c r="T201" s="22">
        <f t="shared" si="81"/>
        <v>-75920</v>
      </c>
      <c r="AE201" s="23">
        <f t="shared" si="98"/>
        <v>612920</v>
      </c>
      <c r="AF201" s="1">
        <v>-78000</v>
      </c>
    </row>
    <row r="202" spans="1:32">
      <c r="A202" s="169"/>
      <c r="B202" s="170"/>
      <c r="C202" s="170"/>
      <c r="D202" s="171" t="s">
        <v>288</v>
      </c>
      <c r="E202" s="172">
        <f t="shared" ref="E202:Q202" si="99">SUM(E197:E201)</f>
        <v>1077000</v>
      </c>
      <c r="F202" s="172">
        <f t="shared" si="99"/>
        <v>874445</v>
      </c>
      <c r="G202" s="172">
        <f t="shared" si="99"/>
        <v>1212692.8</v>
      </c>
      <c r="H202" s="172">
        <f t="shared" si="99"/>
        <v>1250000</v>
      </c>
      <c r="I202" s="172" t="e">
        <f t="shared" si="99"/>
        <v>#REF!</v>
      </c>
      <c r="J202" s="172" t="e">
        <f t="shared" si="99"/>
        <v>#REF!</v>
      </c>
      <c r="K202" s="172">
        <f t="shared" si="99"/>
        <v>1090677</v>
      </c>
      <c r="L202" s="172">
        <f t="shared" si="99"/>
        <v>1087300</v>
      </c>
      <c r="M202" s="172">
        <f t="shared" si="99"/>
        <v>1087300</v>
      </c>
      <c r="N202" s="172" t="e">
        <f t="shared" si="99"/>
        <v>#N/A</v>
      </c>
      <c r="O202" s="172">
        <f t="shared" si="99"/>
        <v>1584000</v>
      </c>
      <c r="P202" s="172">
        <f t="shared" si="99"/>
        <v>1159519</v>
      </c>
      <c r="Q202" s="172">
        <f t="shared" si="99"/>
        <v>1391000</v>
      </c>
      <c r="R202" s="173"/>
      <c r="S202" s="12">
        <f t="shared" si="94"/>
        <v>1</v>
      </c>
      <c r="T202" s="22">
        <f t="shared" si="81"/>
        <v>72219</v>
      </c>
      <c r="AE202" s="23">
        <f t="shared" si="98"/>
        <v>424481</v>
      </c>
      <c r="AF202" s="1">
        <v>-91000</v>
      </c>
    </row>
    <row r="203" spans="1:32">
      <c r="A203" s="19">
        <v>1344000220</v>
      </c>
      <c r="B203" s="19" t="str">
        <f t="shared" ref="B203:B205" si="100">MID(A203,8,3)</f>
        <v>220</v>
      </c>
      <c r="C203" s="19" t="str">
        <f t="shared" ref="C203:C205" si="101">MID(A203,2,6)</f>
        <v>344000</v>
      </c>
      <c r="D203" s="19" t="s">
        <v>289</v>
      </c>
      <c r="E203" s="20">
        <v>25000</v>
      </c>
      <c r="F203" s="20">
        <v>18076</v>
      </c>
      <c r="G203" s="20">
        <f>F203*12/10</f>
        <v>21691.200000000001</v>
      </c>
      <c r="H203" s="20">
        <v>25000</v>
      </c>
      <c r="I203" s="20" t="e">
        <f>VLOOKUP(A203,#REF!,6,0)</f>
        <v>#REF!</v>
      </c>
      <c r="J203" s="20" t="e">
        <f t="shared" si="90"/>
        <v>#REF!</v>
      </c>
      <c r="K203" s="20">
        <v>36000</v>
      </c>
      <c r="L203" s="20">
        <v>29300</v>
      </c>
      <c r="M203" s="20">
        <v>29300</v>
      </c>
      <c r="N203" s="20" t="e">
        <f>VLOOKUP(A203,[1]כספי!$A$1:$E$324,5,0)</f>
        <v>#N/A</v>
      </c>
      <c r="O203" s="20">
        <f>-VLOOKUP(A:A,'[1]דוח כספי 31.10'!A:J,9,0)</f>
        <v>9000</v>
      </c>
      <c r="P203" s="20">
        <f>-VLOOKUP(A:A,'[1]דוח כספי 31.10'!A:D,4,0)</f>
        <v>3600</v>
      </c>
      <c r="Q203" s="20">
        <v>5000</v>
      </c>
      <c r="R203" s="69"/>
      <c r="S203" s="12">
        <f t="shared" si="94"/>
        <v>1</v>
      </c>
      <c r="T203" s="22">
        <f t="shared" si="81"/>
        <v>-25700</v>
      </c>
      <c r="AE203" s="23">
        <f t="shared" si="98"/>
        <v>5400</v>
      </c>
      <c r="AF203" s="1">
        <v>-74000</v>
      </c>
    </row>
    <row r="204" spans="1:32">
      <c r="A204" s="19">
        <v>1344400930</v>
      </c>
      <c r="B204" s="19" t="str">
        <f t="shared" si="100"/>
        <v>930</v>
      </c>
      <c r="C204" s="19" t="str">
        <f t="shared" si="101"/>
        <v>344400</v>
      </c>
      <c r="D204" s="19" t="s">
        <v>293</v>
      </c>
      <c r="E204" s="20"/>
      <c r="F204" s="20">
        <v>88</v>
      </c>
      <c r="G204" s="20">
        <f>F204*12/10</f>
        <v>105.6</v>
      </c>
      <c r="H204" s="20">
        <v>1000</v>
      </c>
      <c r="I204" s="20" t="e">
        <f>VLOOKUP(A204,#REF!,6,0)</f>
        <v>#REF!</v>
      </c>
      <c r="J204" s="20" t="e">
        <f t="shared" si="90"/>
        <v>#REF!</v>
      </c>
      <c r="K204" s="20">
        <v>1000</v>
      </c>
      <c r="L204" s="20">
        <v>0</v>
      </c>
      <c r="M204" s="20">
        <v>0</v>
      </c>
      <c r="N204" s="20"/>
      <c r="O204" s="20">
        <f>-VLOOKUP(A:A,'[1]דוח כספי 31.10'!A:J,9,0)</f>
        <v>213000</v>
      </c>
      <c r="P204" s="20">
        <f>-VLOOKUP(A:A,'[1]דוח כספי 31.10'!A:D,4,0)</f>
        <v>376980</v>
      </c>
      <c r="Q204" s="20">
        <v>452000</v>
      </c>
      <c r="R204" s="69"/>
      <c r="S204" s="12">
        <f t="shared" si="94"/>
        <v>1</v>
      </c>
      <c r="T204" s="22">
        <f t="shared" si="81"/>
        <v>376980</v>
      </c>
      <c r="AE204" s="23">
        <f t="shared" si="98"/>
        <v>-163980</v>
      </c>
      <c r="AF204" s="1">
        <v>-128000</v>
      </c>
    </row>
    <row r="205" spans="1:32">
      <c r="A205" s="19">
        <v>1344410930</v>
      </c>
      <c r="B205" s="19" t="str">
        <f t="shared" si="100"/>
        <v>930</v>
      </c>
      <c r="C205" s="19" t="str">
        <f t="shared" si="101"/>
        <v>344410</v>
      </c>
      <c r="D205" s="19" t="s">
        <v>294</v>
      </c>
      <c r="E205" s="20">
        <v>0</v>
      </c>
      <c r="F205" s="20"/>
      <c r="G205" s="20">
        <v>0</v>
      </c>
      <c r="H205" s="20"/>
      <c r="I205" s="20">
        <v>35424</v>
      </c>
      <c r="J205" s="20">
        <v>35424</v>
      </c>
      <c r="K205" s="20">
        <v>35424</v>
      </c>
      <c r="L205" s="20">
        <v>78700</v>
      </c>
      <c r="M205" s="20">
        <v>78700</v>
      </c>
      <c r="N205" s="20" t="e">
        <f>VLOOKUP(A205,[1]כספי!$A$1:$E$324,5,0)</f>
        <v>#N/A</v>
      </c>
      <c r="O205" s="20">
        <f>-VLOOKUP(A:A,'[1]דוח כספי 31.10'!A:J,9,0)</f>
        <v>0</v>
      </c>
      <c r="P205" s="20">
        <f>-VLOOKUP(A:A,'[1]דוח כספי 31.10'!A:D,4,0)</f>
        <v>107319</v>
      </c>
      <c r="Q205" s="20">
        <v>130000</v>
      </c>
      <c r="R205" s="69"/>
      <c r="S205" s="12">
        <f t="shared" si="94"/>
        <v>1</v>
      </c>
      <c r="T205" s="22">
        <f t="shared" si="81"/>
        <v>28619</v>
      </c>
      <c r="AE205" s="23">
        <f t="shared" si="98"/>
        <v>-107319</v>
      </c>
      <c r="AF205" s="1">
        <v>-361000</v>
      </c>
    </row>
    <row r="206" spans="1:32">
      <c r="A206" s="169"/>
      <c r="B206" s="170"/>
      <c r="C206" s="170"/>
      <c r="D206" s="171" t="s">
        <v>620</v>
      </c>
      <c r="E206" s="172">
        <f t="shared" ref="E206:Q206" si="102">SUM(E203:E205)</f>
        <v>25000</v>
      </c>
      <c r="F206" s="172">
        <f t="shared" si="102"/>
        <v>18164</v>
      </c>
      <c r="G206" s="172">
        <f t="shared" si="102"/>
        <v>21796.799999999999</v>
      </c>
      <c r="H206" s="172">
        <f t="shared" si="102"/>
        <v>26000</v>
      </c>
      <c r="I206" s="172" t="e">
        <f t="shared" si="102"/>
        <v>#REF!</v>
      </c>
      <c r="J206" s="172" t="e">
        <f t="shared" si="102"/>
        <v>#REF!</v>
      </c>
      <c r="K206" s="172">
        <f t="shared" si="102"/>
        <v>72424</v>
      </c>
      <c r="L206" s="172">
        <f t="shared" si="102"/>
        <v>108000</v>
      </c>
      <c r="M206" s="172">
        <f t="shared" si="102"/>
        <v>108000</v>
      </c>
      <c r="N206" s="172" t="e">
        <f t="shared" si="102"/>
        <v>#N/A</v>
      </c>
      <c r="O206" s="172">
        <f t="shared" si="102"/>
        <v>222000</v>
      </c>
      <c r="P206" s="172">
        <f t="shared" si="102"/>
        <v>487899</v>
      </c>
      <c r="Q206" s="172">
        <f t="shared" si="102"/>
        <v>587000</v>
      </c>
      <c r="R206" s="173"/>
      <c r="S206" s="12">
        <f t="shared" si="94"/>
        <v>1</v>
      </c>
      <c r="T206" s="22">
        <f t="shared" si="81"/>
        <v>379899</v>
      </c>
      <c r="AE206" s="23">
        <f t="shared" si="98"/>
        <v>-265899</v>
      </c>
      <c r="AF206" s="1">
        <v>0</v>
      </c>
    </row>
    <row r="207" spans="1:32">
      <c r="A207" s="19">
        <v>1345100930</v>
      </c>
      <c r="B207" s="19" t="str">
        <f t="shared" ref="B207:B211" si="103">MID(A207,8,3)</f>
        <v>930</v>
      </c>
      <c r="C207" s="19" t="str">
        <f t="shared" ref="C207:C211" si="104">MID(A207,2,6)</f>
        <v>345100</v>
      </c>
      <c r="D207" s="19" t="s">
        <v>297</v>
      </c>
      <c r="E207" s="20">
        <v>960000</v>
      </c>
      <c r="F207" s="20">
        <v>907096</v>
      </c>
      <c r="G207" s="20">
        <f>999152+92000</f>
        <v>1091152</v>
      </c>
      <c r="H207" s="20">
        <v>1142000</v>
      </c>
      <c r="I207" s="20" t="e">
        <f>VLOOKUP(A207,#REF!,6,0)</f>
        <v>#REF!</v>
      </c>
      <c r="J207" s="20" t="e">
        <f t="shared" si="90"/>
        <v>#REF!</v>
      </c>
      <c r="K207" s="20">
        <v>1089628</v>
      </c>
      <c r="L207" s="20">
        <v>1087000</v>
      </c>
      <c r="M207" s="20">
        <v>1087000</v>
      </c>
      <c r="N207" s="20">
        <f>VLOOKUP(A207,[1]כספי!$A$1:$E$324,5,0)</f>
        <v>806407</v>
      </c>
      <c r="O207" s="20">
        <f>-VLOOKUP(A:A,'[1]דוח כספי 31.10'!A:J,9,0)</f>
        <v>430000</v>
      </c>
      <c r="P207" s="20">
        <f>-VLOOKUP(A:A,'[1]דוח כספי 31.10'!A:D,4,0)</f>
        <v>93382</v>
      </c>
      <c r="Q207" s="20">
        <v>112000</v>
      </c>
      <c r="R207" s="69"/>
      <c r="S207" s="12">
        <f t="shared" si="94"/>
        <v>1</v>
      </c>
      <c r="T207" s="22">
        <f t="shared" si="81"/>
        <v>-993618</v>
      </c>
      <c r="AE207" s="23">
        <f t="shared" si="98"/>
        <v>336618</v>
      </c>
      <c r="AF207" s="1">
        <v>0</v>
      </c>
    </row>
    <row r="208" spans="1:32">
      <c r="A208" s="19">
        <v>1345200930</v>
      </c>
      <c r="B208" s="19" t="str">
        <f t="shared" si="103"/>
        <v>930</v>
      </c>
      <c r="C208" s="19" t="str">
        <f t="shared" si="104"/>
        <v>345200</v>
      </c>
      <c r="D208" s="19" t="s">
        <v>298</v>
      </c>
      <c r="E208" s="20">
        <v>7000</v>
      </c>
      <c r="F208" s="20">
        <v>5171</v>
      </c>
      <c r="G208" s="20">
        <f>F208*12/10</f>
        <v>6205.2</v>
      </c>
      <c r="H208" s="20">
        <v>7000</v>
      </c>
      <c r="I208" s="20" t="e">
        <f>VLOOKUP(A208,#REF!,6,0)</f>
        <v>#REF!</v>
      </c>
      <c r="J208" s="20" t="e">
        <f t="shared" si="90"/>
        <v>#REF!</v>
      </c>
      <c r="K208" s="20">
        <v>5000</v>
      </c>
      <c r="L208" s="20">
        <v>5000</v>
      </c>
      <c r="M208" s="20">
        <v>5000</v>
      </c>
      <c r="N208" s="20">
        <f>VLOOKUP(A208,[1]כספי!$A$1:$E$324,5,0)</f>
        <v>109067</v>
      </c>
      <c r="O208" s="20">
        <f>-VLOOKUP(A:A,'[1]דוח כספי 31.10'!A:J,9,0)</f>
        <v>566000</v>
      </c>
      <c r="P208" s="20">
        <f>-VLOOKUP(A:A,'[1]דוח כספי 31.10'!A:D,4,0)</f>
        <v>359159</v>
      </c>
      <c r="Q208" s="20">
        <v>430000</v>
      </c>
      <c r="R208" s="69"/>
      <c r="S208" s="12">
        <f t="shared" si="94"/>
        <v>1</v>
      </c>
      <c r="T208" s="22">
        <f t="shared" si="81"/>
        <v>354159</v>
      </c>
      <c r="AE208" s="23">
        <f t="shared" si="98"/>
        <v>206841</v>
      </c>
      <c r="AF208" s="1">
        <v>-5000</v>
      </c>
    </row>
    <row r="209" spans="1:32">
      <c r="A209" s="19">
        <v>1345300930</v>
      </c>
      <c r="B209" s="19" t="str">
        <f t="shared" si="103"/>
        <v>930</v>
      </c>
      <c r="C209" s="19" t="str">
        <f t="shared" si="104"/>
        <v>345300</v>
      </c>
      <c r="D209" s="19" t="s">
        <v>301</v>
      </c>
      <c r="E209" s="20">
        <v>100000</v>
      </c>
      <c r="F209" s="20">
        <v>125952</v>
      </c>
      <c r="G209" s="20">
        <f>164584+39000</f>
        <v>203584</v>
      </c>
      <c r="H209" s="20">
        <v>210000</v>
      </c>
      <c r="I209" s="20" t="e">
        <f>VLOOKUP(A209,#REF!,6,0)</f>
        <v>#REF!</v>
      </c>
      <c r="J209" s="20" t="e">
        <f t="shared" si="90"/>
        <v>#REF!</v>
      </c>
      <c r="K209" s="20">
        <v>250000</v>
      </c>
      <c r="L209" s="20">
        <v>180000</v>
      </c>
      <c r="M209" s="20">
        <v>180000</v>
      </c>
      <c r="N209" s="20" t="e">
        <f>VLOOKUP(A209,[1]כספי!$A$1:$E$324,5,0)</f>
        <v>#N/A</v>
      </c>
      <c r="O209" s="20">
        <f>-VLOOKUP(A:A,'[1]דוח כספי 31.10'!A:J,9,0)</f>
        <v>0</v>
      </c>
      <c r="P209" s="20">
        <f>-VLOOKUP(A:A,'[1]דוח כספי 31.10'!A:D,4,0)</f>
        <v>22341</v>
      </c>
      <c r="Q209" s="20">
        <v>27000</v>
      </c>
      <c r="R209" s="69"/>
      <c r="S209" s="12">
        <f t="shared" si="94"/>
        <v>1</v>
      </c>
      <c r="T209" s="22">
        <f t="shared" si="81"/>
        <v>-157659</v>
      </c>
      <c r="AE209" s="23">
        <f t="shared" si="98"/>
        <v>-22341</v>
      </c>
      <c r="AF209" s="1">
        <v>0</v>
      </c>
    </row>
    <row r="210" spans="1:32">
      <c r="A210" s="19">
        <v>1345350930</v>
      </c>
      <c r="B210" s="19" t="str">
        <f t="shared" si="103"/>
        <v>930</v>
      </c>
      <c r="C210" s="19" t="str">
        <f t="shared" si="104"/>
        <v>345350</v>
      </c>
      <c r="D210" s="19" t="s">
        <v>304</v>
      </c>
      <c r="E210" s="20">
        <v>545000</v>
      </c>
      <c r="F210" s="20">
        <v>434126</v>
      </c>
      <c r="G210" s="20">
        <f>F210*12/10</f>
        <v>520951.2</v>
      </c>
      <c r="H210" s="20">
        <v>595000</v>
      </c>
      <c r="I210" s="20" t="e">
        <f>VLOOKUP(A210,#REF!,6,0)</f>
        <v>#REF!</v>
      </c>
      <c r="J210" s="20" t="e">
        <f t="shared" si="90"/>
        <v>#REF!</v>
      </c>
      <c r="K210" s="20">
        <v>550000</v>
      </c>
      <c r="L210" s="20">
        <v>550000</v>
      </c>
      <c r="M210" s="20">
        <v>550000</v>
      </c>
      <c r="N210" s="20" t="e">
        <f>VLOOKUP(A210,[1]כספי!$A$1:$E$324,5,0)</f>
        <v>#N/A</v>
      </c>
      <c r="O210" s="20">
        <f>-VLOOKUP(A:A,'[1]דוח כספי 31.10'!A:J,9,0)</f>
        <v>19000</v>
      </c>
      <c r="P210" s="20">
        <f>-VLOOKUP(A:A,'[1]דוח כספי 31.10'!A:D,4,0)</f>
        <v>60322</v>
      </c>
      <c r="Q210" s="20">
        <v>72000</v>
      </c>
      <c r="R210" s="69"/>
      <c r="S210" s="12">
        <f t="shared" si="94"/>
        <v>1</v>
      </c>
      <c r="T210" s="22">
        <f t="shared" si="81"/>
        <v>-489678</v>
      </c>
      <c r="AE210" s="23">
        <f t="shared" si="98"/>
        <v>-41322</v>
      </c>
      <c r="AF210" s="1">
        <v>-15000</v>
      </c>
    </row>
    <row r="211" spans="1:32">
      <c r="A211" s="19">
        <v>1345400930</v>
      </c>
      <c r="B211" s="19" t="str">
        <f t="shared" si="103"/>
        <v>930</v>
      </c>
      <c r="C211" s="19" t="str">
        <f t="shared" si="104"/>
        <v>345400</v>
      </c>
      <c r="D211" s="19" t="s">
        <v>305</v>
      </c>
      <c r="E211" s="20">
        <v>18000</v>
      </c>
      <c r="F211" s="20"/>
      <c r="G211" s="20">
        <f>F211*12/10</f>
        <v>0</v>
      </c>
      <c r="H211" s="20">
        <f t="shared" ref="H211" si="105">G211</f>
        <v>0</v>
      </c>
      <c r="I211" s="20" t="e">
        <f>VLOOKUP(A211,#REF!,6,0)</f>
        <v>#REF!</v>
      </c>
      <c r="J211" s="20" t="e">
        <f t="shared" si="90"/>
        <v>#REF!</v>
      </c>
      <c r="K211" s="20">
        <v>20000</v>
      </c>
      <c r="L211" s="20">
        <v>22000</v>
      </c>
      <c r="M211" s="20">
        <v>22000</v>
      </c>
      <c r="N211" s="20" t="e">
        <f>VLOOKUP(A211,[1]כספי!$A$1:$E$324,5,0)</f>
        <v>#N/A</v>
      </c>
      <c r="O211" s="20">
        <f>-VLOOKUP(A:A,'[1]דוח כספי 31.10'!A:J,9,0)</f>
        <v>502000</v>
      </c>
      <c r="P211" s="20">
        <f>-VLOOKUP(A:A,'[1]דוח כספי 31.10'!A:D,4,0)</f>
        <v>340429</v>
      </c>
      <c r="Q211" s="20">
        <v>408000</v>
      </c>
      <c r="R211" s="69"/>
      <c r="S211" s="12">
        <f t="shared" si="94"/>
        <v>1</v>
      </c>
      <c r="T211" s="22">
        <f t="shared" si="81"/>
        <v>318429</v>
      </c>
      <c r="AE211" s="23">
        <f t="shared" si="98"/>
        <v>161571</v>
      </c>
      <c r="AF211" s="1">
        <v>-12000</v>
      </c>
    </row>
    <row r="212" spans="1:32">
      <c r="A212" s="169"/>
      <c r="B212" s="170"/>
      <c r="C212" s="170"/>
      <c r="D212" s="171" t="s">
        <v>625</v>
      </c>
      <c r="E212" s="172">
        <f t="shared" ref="E212:Q212" si="106">SUM(E207:E211)</f>
        <v>1630000</v>
      </c>
      <c r="F212" s="172">
        <f t="shared" si="106"/>
        <v>1472345</v>
      </c>
      <c r="G212" s="172">
        <f t="shared" si="106"/>
        <v>1821892.4</v>
      </c>
      <c r="H212" s="172">
        <f t="shared" si="106"/>
        <v>1954000</v>
      </c>
      <c r="I212" s="172" t="e">
        <f t="shared" si="106"/>
        <v>#REF!</v>
      </c>
      <c r="J212" s="172" t="e">
        <f t="shared" si="106"/>
        <v>#REF!</v>
      </c>
      <c r="K212" s="172">
        <f t="shared" si="106"/>
        <v>1914628</v>
      </c>
      <c r="L212" s="172">
        <f t="shared" si="106"/>
        <v>1844000</v>
      </c>
      <c r="M212" s="172">
        <f t="shared" si="106"/>
        <v>1844000</v>
      </c>
      <c r="N212" s="172" t="e">
        <f t="shared" si="106"/>
        <v>#N/A</v>
      </c>
      <c r="O212" s="172">
        <f t="shared" si="106"/>
        <v>1517000</v>
      </c>
      <c r="P212" s="172">
        <f t="shared" si="106"/>
        <v>875633</v>
      </c>
      <c r="Q212" s="172">
        <f t="shared" si="106"/>
        <v>1049000</v>
      </c>
      <c r="R212" s="173"/>
      <c r="S212" s="12">
        <f t="shared" si="94"/>
        <v>1</v>
      </c>
      <c r="T212" s="22">
        <f t="shared" si="81"/>
        <v>-968367</v>
      </c>
      <c r="AE212" s="23">
        <f t="shared" si="98"/>
        <v>641367</v>
      </c>
    </row>
    <row r="213" spans="1:32">
      <c r="A213" s="19">
        <v>1346400930</v>
      </c>
      <c r="B213" s="19" t="str">
        <f t="shared" ref="B213:B217" si="107">MID(A213,8,3)</f>
        <v>930</v>
      </c>
      <c r="C213" s="19" t="str">
        <f t="shared" ref="C213:C217" si="108">MID(A213,2,6)</f>
        <v>346400</v>
      </c>
      <c r="D213" s="19" t="s">
        <v>313</v>
      </c>
      <c r="E213" s="20"/>
      <c r="F213" s="20">
        <v>3720</v>
      </c>
      <c r="G213" s="20">
        <f>F213*12/10</f>
        <v>4464</v>
      </c>
      <c r="H213" s="20">
        <v>4500</v>
      </c>
      <c r="I213" s="20" t="e">
        <f>VLOOKUP(A213,#REF!,6,0)</f>
        <v>#REF!</v>
      </c>
      <c r="J213" s="20" t="e">
        <f t="shared" si="90"/>
        <v>#REF!</v>
      </c>
      <c r="K213" s="20">
        <v>5000</v>
      </c>
      <c r="L213" s="20">
        <v>5000</v>
      </c>
      <c r="M213" s="20">
        <v>5000</v>
      </c>
      <c r="N213" s="20">
        <f>VLOOKUP(A213,[1]כספי!$A$1:$E$324,5,0)</f>
        <v>0</v>
      </c>
      <c r="O213" s="20">
        <f>-VLOOKUP(A:A,'[1]דוח כספי 31.10'!A:J,9,0)</f>
        <v>10000</v>
      </c>
      <c r="P213" s="20">
        <f>-VLOOKUP(A:A,'[1]דוח כספי 31.10'!A:D,4,0)</f>
        <v>8788</v>
      </c>
      <c r="Q213" s="20">
        <v>11000</v>
      </c>
      <c r="R213" s="69"/>
      <c r="S213" s="12">
        <f t="shared" si="94"/>
        <v>1</v>
      </c>
      <c r="T213" s="22">
        <f t="shared" si="81"/>
        <v>3788</v>
      </c>
      <c r="AE213" s="23">
        <f t="shared" si="98"/>
        <v>1212</v>
      </c>
    </row>
    <row r="214" spans="1:32">
      <c r="A214" s="19">
        <v>1346410930</v>
      </c>
      <c r="B214" s="19" t="str">
        <f t="shared" si="107"/>
        <v>930</v>
      </c>
      <c r="C214" s="19" t="str">
        <f t="shared" si="108"/>
        <v>346410</v>
      </c>
      <c r="D214" s="19" t="s">
        <v>314</v>
      </c>
      <c r="E214" s="20"/>
      <c r="F214" s="20"/>
      <c r="G214" s="20"/>
      <c r="H214" s="20"/>
      <c r="I214" s="20">
        <v>5145</v>
      </c>
      <c r="J214" s="20">
        <v>5145</v>
      </c>
      <c r="K214" s="20">
        <v>5145</v>
      </c>
      <c r="L214" s="20">
        <v>7000</v>
      </c>
      <c r="M214" s="20">
        <v>7000</v>
      </c>
      <c r="N214" s="20" t="e">
        <f>VLOOKUP(A214,[1]כספי!$A$1:$E$324,5,0)</f>
        <v>#N/A</v>
      </c>
      <c r="O214" s="20">
        <f>-VLOOKUP(A:A,'[1]דוח כספי 31.10'!A:J,9,0)</f>
        <v>0</v>
      </c>
      <c r="P214" s="20">
        <f>-VLOOKUP(A:A,'[1]דוח כספי 31.10'!A:D,4,0)</f>
        <v>0</v>
      </c>
      <c r="Q214" s="20">
        <f t="shared" ref="Q214:Q221" si="109">P214/10*12</f>
        <v>0</v>
      </c>
      <c r="R214" s="69"/>
      <c r="S214" s="12">
        <f t="shared" si="94"/>
        <v>1</v>
      </c>
      <c r="T214" s="22">
        <f t="shared" si="81"/>
        <v>-7000</v>
      </c>
      <c r="AE214" s="23">
        <f t="shared" si="98"/>
        <v>0</v>
      </c>
    </row>
    <row r="215" spans="1:32">
      <c r="A215" s="19">
        <v>1346610930</v>
      </c>
      <c r="B215" s="19" t="str">
        <f t="shared" si="107"/>
        <v>930</v>
      </c>
      <c r="C215" s="19" t="str">
        <f t="shared" si="108"/>
        <v>346610</v>
      </c>
      <c r="D215" s="19" t="s">
        <v>316</v>
      </c>
      <c r="E215" s="20"/>
      <c r="F215" s="20"/>
      <c r="G215" s="20"/>
      <c r="H215" s="20"/>
      <c r="I215" s="20">
        <v>15431</v>
      </c>
      <c r="J215" s="20">
        <f t="shared" si="90"/>
        <v>26453.14285714279</v>
      </c>
      <c r="K215" s="20">
        <v>20431</v>
      </c>
      <c r="L215" s="20">
        <v>23300</v>
      </c>
      <c r="M215" s="20">
        <v>23300</v>
      </c>
      <c r="N215" s="20" t="e">
        <f>VLOOKUP(A215,[1]כספי!$A$1:$E$324,5,0)</f>
        <v>#N/A</v>
      </c>
      <c r="O215" s="20">
        <f>-VLOOKUP(A:A,'[1]דוח כספי 31.10'!A:J,9,0)</f>
        <v>82000</v>
      </c>
      <c r="P215" s="20">
        <f>-VLOOKUP(A:A,'[1]דוח כספי 31.10'!A:D,4,0)</f>
        <v>69410</v>
      </c>
      <c r="Q215" s="20">
        <v>83000</v>
      </c>
      <c r="R215" s="69"/>
      <c r="S215" s="12">
        <f t="shared" si="94"/>
        <v>1</v>
      </c>
      <c r="T215" s="22">
        <f t="shared" si="81"/>
        <v>46110</v>
      </c>
      <c r="AE215" s="23">
        <f t="shared" si="98"/>
        <v>12590</v>
      </c>
    </row>
    <row r="216" spans="1:32">
      <c r="A216" s="186">
        <v>1346700930</v>
      </c>
      <c r="B216" s="19" t="str">
        <f t="shared" si="107"/>
        <v>930</v>
      </c>
      <c r="C216" s="19" t="str">
        <f t="shared" si="108"/>
        <v>346700</v>
      </c>
      <c r="D216" s="19" t="s">
        <v>271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>
        <f>-VLOOKUP(A:A,'[1]דוח כספי 31.10'!A:J,9,0)</f>
        <v>40000</v>
      </c>
      <c r="P216" s="20">
        <f>-VLOOKUP(A:A,'[1]דוח כספי 31.10'!A:D,4,0)</f>
        <v>47932</v>
      </c>
      <c r="Q216" s="20">
        <v>58000</v>
      </c>
      <c r="R216" s="69"/>
      <c r="S216" s="12"/>
      <c r="T216" s="22"/>
      <c r="AE216" s="23">
        <f t="shared" si="98"/>
        <v>-7932</v>
      </c>
    </row>
    <row r="217" spans="1:32">
      <c r="A217" s="186">
        <v>1346800930</v>
      </c>
      <c r="B217" s="19" t="str">
        <f t="shared" si="107"/>
        <v>930</v>
      </c>
      <c r="C217" s="19" t="str">
        <f t="shared" si="108"/>
        <v>346800</v>
      </c>
      <c r="D217" s="19" t="s">
        <v>315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 t="e">
        <f>VLOOKUP(A217,[1]כספי!$A$1:$E$324,5,0)</f>
        <v>#N/A</v>
      </c>
      <c r="O217" s="20">
        <f>-VLOOKUP(A:A,'[1]דוח כספי 31.10'!A:J,9,0)</f>
        <v>167000</v>
      </c>
      <c r="P217" s="20">
        <f>-VLOOKUP(A:A,'[1]דוח כספי 31.10'!A:D,4,0)</f>
        <v>126986</v>
      </c>
      <c r="Q217" s="20">
        <v>152000</v>
      </c>
      <c r="R217" s="69"/>
      <c r="S217" s="12"/>
      <c r="T217" s="22">
        <f t="shared" si="81"/>
        <v>126986</v>
      </c>
      <c r="AE217" s="23">
        <f t="shared" si="98"/>
        <v>40014</v>
      </c>
    </row>
    <row r="218" spans="1:32">
      <c r="A218" s="169"/>
      <c r="B218" s="170"/>
      <c r="C218" s="170"/>
      <c r="D218" s="171" t="s">
        <v>633</v>
      </c>
      <c r="E218" s="172">
        <f t="shared" ref="E218:J218" si="110">SUM(E213:E215)</f>
        <v>0</v>
      </c>
      <c r="F218" s="172">
        <f t="shared" si="110"/>
        <v>3720</v>
      </c>
      <c r="G218" s="172">
        <f t="shared" si="110"/>
        <v>4464</v>
      </c>
      <c r="H218" s="172">
        <f t="shared" si="110"/>
        <v>4500</v>
      </c>
      <c r="I218" s="172" t="e">
        <f t="shared" si="110"/>
        <v>#REF!</v>
      </c>
      <c r="J218" s="172" t="e">
        <f t="shared" si="110"/>
        <v>#REF!</v>
      </c>
      <c r="K218" s="172">
        <f>SUM(K213:K217)</f>
        <v>30576</v>
      </c>
      <c r="L218" s="172">
        <f t="shared" ref="L218:Q218" si="111">SUM(L213:L217)</f>
        <v>35300</v>
      </c>
      <c r="M218" s="172">
        <f t="shared" si="111"/>
        <v>35300</v>
      </c>
      <c r="N218" s="172" t="e">
        <f t="shared" si="111"/>
        <v>#N/A</v>
      </c>
      <c r="O218" s="172">
        <f t="shared" si="111"/>
        <v>299000</v>
      </c>
      <c r="P218" s="172">
        <f t="shared" si="111"/>
        <v>253116</v>
      </c>
      <c r="Q218" s="172">
        <f t="shared" si="111"/>
        <v>304000</v>
      </c>
      <c r="R218" s="173"/>
      <c r="S218" s="12">
        <f t="shared" ref="S218:S250" si="112">IF(ISBLANK(A218),1,--OR(K218&gt;1,L218&gt;1,M218&gt;1))</f>
        <v>1</v>
      </c>
      <c r="T218" s="22">
        <f t="shared" si="81"/>
        <v>217816</v>
      </c>
      <c r="AE218" s="23">
        <f t="shared" si="98"/>
        <v>45884</v>
      </c>
    </row>
    <row r="219" spans="1:32">
      <c r="A219" s="186">
        <v>1347100930</v>
      </c>
      <c r="B219" s="19" t="str">
        <f t="shared" ref="B219:B221" si="113">MID(A219,8,3)</f>
        <v>930</v>
      </c>
      <c r="C219" s="19" t="str">
        <f t="shared" ref="C219:C221" si="114">MID(A219,2,6)</f>
        <v>347100</v>
      </c>
      <c r="D219" s="19" t="s">
        <v>319</v>
      </c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>
        <f>-VLOOKUP(A:A,'[1]דוח כספי 31.10'!A:J,9,0)</f>
        <v>4000</v>
      </c>
      <c r="P219" s="20">
        <f>-VLOOKUP(A:A,'[1]דוח כספי 31.10'!A:D,4,0)</f>
        <v>47178</v>
      </c>
      <c r="Q219" s="20">
        <v>57000</v>
      </c>
      <c r="R219" s="69"/>
      <c r="S219" s="12"/>
      <c r="T219" s="22"/>
      <c r="AE219" s="23">
        <f t="shared" si="98"/>
        <v>-43178</v>
      </c>
    </row>
    <row r="220" spans="1:32">
      <c r="A220" s="186">
        <v>1347200930</v>
      </c>
      <c r="B220" s="19" t="str">
        <f t="shared" si="113"/>
        <v>930</v>
      </c>
      <c r="C220" s="19" t="str">
        <f t="shared" si="114"/>
        <v>347200</v>
      </c>
      <c r="D220" s="19" t="s">
        <v>320</v>
      </c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>
        <f>-VLOOKUP(A:A,'[1]דוח כספי 31.10'!A:J,9,0)</f>
        <v>0</v>
      </c>
      <c r="P220" s="20">
        <f>-VLOOKUP(A:A,'[1]דוח כספי 31.10'!A:D,4,0)</f>
        <v>0</v>
      </c>
      <c r="Q220" s="20">
        <f t="shared" si="109"/>
        <v>0</v>
      </c>
      <c r="R220" s="69"/>
      <c r="S220" s="12"/>
      <c r="T220" s="22"/>
      <c r="AE220" s="23">
        <f t="shared" si="98"/>
        <v>0</v>
      </c>
    </row>
    <row r="221" spans="1:32">
      <c r="A221" s="186">
        <v>1347300990</v>
      </c>
      <c r="B221" s="19" t="str">
        <f t="shared" si="113"/>
        <v>990</v>
      </c>
      <c r="C221" s="19" t="str">
        <f t="shared" si="114"/>
        <v>347300</v>
      </c>
      <c r="D221" s="19" t="s">
        <v>321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>
        <f>-VLOOKUP(A:A,'[1]דוח כספי 31.10'!A:J,9,0)</f>
        <v>0</v>
      </c>
      <c r="P221" s="20">
        <f>-VLOOKUP(A:A,'[1]דוח כספי 31.10'!A:D,4,0)</f>
        <v>0</v>
      </c>
      <c r="Q221" s="20">
        <f t="shared" si="109"/>
        <v>0</v>
      </c>
      <c r="R221" s="69"/>
      <c r="S221" s="12"/>
      <c r="T221" s="22"/>
      <c r="AE221" s="23">
        <f t="shared" si="98"/>
        <v>0</v>
      </c>
    </row>
    <row r="222" spans="1:32">
      <c r="A222" s="169"/>
      <c r="B222" s="170"/>
      <c r="C222" s="170"/>
      <c r="D222" s="171" t="s">
        <v>323</v>
      </c>
      <c r="E222" s="172" t="e">
        <f>SUM(#REF!)</f>
        <v>#REF!</v>
      </c>
      <c r="F222" s="172" t="e">
        <f>SUM(#REF!)</f>
        <v>#REF!</v>
      </c>
      <c r="G222" s="172" t="e">
        <f>SUM(#REF!)</f>
        <v>#REF!</v>
      </c>
      <c r="H222" s="172" t="e">
        <f>SUM(#REF!)</f>
        <v>#REF!</v>
      </c>
      <c r="I222" s="172" t="e">
        <f>SUM(#REF!)</f>
        <v>#REF!</v>
      </c>
      <c r="J222" s="172" t="e">
        <f>SUM(#REF!)</f>
        <v>#REF!</v>
      </c>
      <c r="K222" s="172" t="e">
        <f>SUM(#REF!)</f>
        <v>#REF!</v>
      </c>
      <c r="L222" s="172" t="e">
        <f>SUM(#REF!)</f>
        <v>#REF!</v>
      </c>
      <c r="M222" s="172" t="e">
        <f>SUM(#REF!)</f>
        <v>#REF!</v>
      </c>
      <c r="N222" s="172" t="e">
        <f>SUM(#REF!)</f>
        <v>#REF!</v>
      </c>
      <c r="O222" s="172">
        <f>SUM(O219:O221)</f>
        <v>4000</v>
      </c>
      <c r="P222" s="172">
        <f t="shared" ref="P222:Q222" si="115">SUM(P219:P221)</f>
        <v>47178</v>
      </c>
      <c r="Q222" s="172">
        <f t="shared" si="115"/>
        <v>57000</v>
      </c>
      <c r="R222" s="173"/>
      <c r="S222" s="12">
        <f t="shared" si="112"/>
        <v>1</v>
      </c>
      <c r="T222" s="22" t="e">
        <f t="shared" si="81"/>
        <v>#REF!</v>
      </c>
      <c r="AE222" s="23">
        <f t="shared" si="98"/>
        <v>-43178</v>
      </c>
    </row>
    <row r="223" spans="1:32">
      <c r="A223" s="174"/>
      <c r="B223" s="175"/>
      <c r="C223" s="175"/>
      <c r="D223" s="176" t="s">
        <v>324</v>
      </c>
      <c r="E223" s="177" t="e">
        <f t="shared" ref="E223:Q223" si="116">E222+E218+E212+E206+E202+E196+E184</f>
        <v>#REF!</v>
      </c>
      <c r="F223" s="177" t="e">
        <f t="shared" si="116"/>
        <v>#REF!</v>
      </c>
      <c r="G223" s="177" t="e">
        <f t="shared" si="116"/>
        <v>#REF!</v>
      </c>
      <c r="H223" s="177" t="e">
        <f t="shared" si="116"/>
        <v>#REF!</v>
      </c>
      <c r="I223" s="177" t="e">
        <f t="shared" si="116"/>
        <v>#REF!</v>
      </c>
      <c r="J223" s="177" t="e">
        <f t="shared" si="116"/>
        <v>#REF!</v>
      </c>
      <c r="K223" s="177" t="e">
        <f t="shared" si="116"/>
        <v>#REF!</v>
      </c>
      <c r="L223" s="177" t="e">
        <f t="shared" si="116"/>
        <v>#REF!</v>
      </c>
      <c r="M223" s="177" t="e">
        <f t="shared" si="116"/>
        <v>#REF!</v>
      </c>
      <c r="N223" s="177" t="e">
        <f t="shared" si="116"/>
        <v>#REF!</v>
      </c>
      <c r="O223" s="177">
        <f>O222+O218+O212+O206+O202+O196+O184</f>
        <v>6640000</v>
      </c>
      <c r="P223" s="177">
        <f t="shared" si="116"/>
        <v>5369015</v>
      </c>
      <c r="Q223" s="177">
        <f t="shared" si="116"/>
        <v>6442000</v>
      </c>
      <c r="R223" s="178"/>
      <c r="S223" s="12">
        <f t="shared" si="112"/>
        <v>1</v>
      </c>
      <c r="T223" s="22" t="e">
        <f t="shared" si="81"/>
        <v>#REF!</v>
      </c>
      <c r="AE223" s="23">
        <f t="shared" si="98"/>
        <v>1270985</v>
      </c>
    </row>
    <row r="224" spans="1:32">
      <c r="A224" s="179"/>
      <c r="B224" s="37" t="s">
        <v>325</v>
      </c>
      <c r="C224" s="37"/>
      <c r="D224" s="37"/>
      <c r="E224" s="37"/>
      <c r="F224" s="37"/>
      <c r="G224" s="37"/>
      <c r="H224" s="38"/>
      <c r="I224" s="20"/>
      <c r="J224" s="20"/>
      <c r="K224" s="20"/>
      <c r="L224" s="20"/>
      <c r="M224" s="20"/>
      <c r="N224" s="20"/>
      <c r="O224" s="20"/>
      <c r="P224" s="20"/>
      <c r="Q224" s="20">
        <f t="shared" ref="Q224:Q237" si="117">P224/10*12</f>
        <v>0</v>
      </c>
      <c r="R224" s="69"/>
      <c r="S224" s="12">
        <f t="shared" si="112"/>
        <v>1</v>
      </c>
      <c r="T224" s="22">
        <f t="shared" si="81"/>
        <v>0</v>
      </c>
      <c r="AE224" s="23">
        <f t="shared" si="98"/>
        <v>0</v>
      </c>
    </row>
    <row r="225" spans="1:34">
      <c r="A225" s="19">
        <v>1413100410</v>
      </c>
      <c r="B225" s="19" t="str">
        <f t="shared" ref="B225:B239" si="118">MID(A225,8,3)</f>
        <v>410</v>
      </c>
      <c r="C225" s="19" t="str">
        <f t="shared" ref="C225:C239" si="119">MID(A225,2,6)</f>
        <v>413100</v>
      </c>
      <c r="D225" s="19" t="s">
        <v>326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>
        <f>-VLOOKUP(A:A,'[1]דוח כספי 31.10'!A:J,9,0)</f>
        <v>2213000</v>
      </c>
      <c r="P225" s="20">
        <v>2050000</v>
      </c>
      <c r="Q225" s="20">
        <v>2500000</v>
      </c>
      <c r="R225" s="69"/>
      <c r="S225" s="12"/>
      <c r="T225" s="22"/>
      <c r="AE225" s="23">
        <f t="shared" si="98"/>
        <v>163000</v>
      </c>
      <c r="AG225" s="22"/>
      <c r="AH225" s="22"/>
    </row>
    <row r="226" spans="1:34">
      <c r="A226" s="19">
        <v>1413110410</v>
      </c>
      <c r="B226" s="19" t="str">
        <f t="shared" si="118"/>
        <v>410</v>
      </c>
      <c r="C226" s="19" t="str">
        <f t="shared" si="119"/>
        <v>413110</v>
      </c>
      <c r="D226" s="19" t="s">
        <v>327</v>
      </c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>
        <f>-VLOOKUP(A:A,'[1]דוח כספי 31.10'!A:J,9,0)</f>
        <v>1405000</v>
      </c>
      <c r="P226" s="20">
        <v>1600000</v>
      </c>
      <c r="Q226" s="20">
        <v>1950500</v>
      </c>
      <c r="R226" s="69"/>
      <c r="S226" s="12"/>
      <c r="T226" s="22"/>
      <c r="AE226" s="23">
        <f t="shared" si="98"/>
        <v>-195000</v>
      </c>
      <c r="AG226" s="22"/>
    </row>
    <row r="227" spans="1:34">
      <c r="A227" s="19">
        <v>1413111410</v>
      </c>
      <c r="B227" s="19" t="str">
        <f t="shared" si="118"/>
        <v>410</v>
      </c>
      <c r="C227" s="19" t="str">
        <f t="shared" si="119"/>
        <v>413111</v>
      </c>
      <c r="D227" s="19" t="s">
        <v>328</v>
      </c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>
        <f>-VLOOKUP(A:A,'[1]דוח כספי 31.10'!A:J,9,0)</f>
        <v>58000</v>
      </c>
      <c r="P227" s="20"/>
      <c r="Q227" s="20">
        <f t="shared" si="117"/>
        <v>0</v>
      </c>
      <c r="R227" s="69"/>
      <c r="S227" s="12"/>
      <c r="T227" s="22"/>
      <c r="AE227" s="23">
        <f t="shared" si="98"/>
        <v>58000</v>
      </c>
    </row>
    <row r="228" spans="1:34">
      <c r="A228" s="19">
        <v>1413112410</v>
      </c>
      <c r="B228" s="19" t="str">
        <f t="shared" si="118"/>
        <v>410</v>
      </c>
      <c r="C228" s="19" t="str">
        <f t="shared" si="119"/>
        <v>413112</v>
      </c>
      <c r="D228" s="19" t="s">
        <v>329</v>
      </c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>
        <f>-VLOOKUP(A:A,'[1]דוח כספי 31.10'!A:J,9,0)</f>
        <v>48000</v>
      </c>
      <c r="P228" s="20"/>
      <c r="Q228" s="20">
        <f t="shared" si="117"/>
        <v>0</v>
      </c>
      <c r="R228" s="69"/>
      <c r="S228" s="12"/>
      <c r="T228" s="22"/>
      <c r="AE228" s="23">
        <f t="shared" si="98"/>
        <v>48000</v>
      </c>
    </row>
    <row r="229" spans="1:34">
      <c r="A229" s="19">
        <v>1413113410</v>
      </c>
      <c r="B229" s="19" t="str">
        <f t="shared" si="118"/>
        <v>410</v>
      </c>
      <c r="C229" s="19" t="str">
        <f t="shared" si="119"/>
        <v>413113</v>
      </c>
      <c r="D229" s="19" t="s">
        <v>330</v>
      </c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>
        <f>-VLOOKUP(A:A,'[1]דוח כספי 31.10'!A:J,9,0)</f>
        <v>78000</v>
      </c>
      <c r="P229" s="20"/>
      <c r="Q229" s="20">
        <f t="shared" si="117"/>
        <v>0</v>
      </c>
      <c r="R229" s="69"/>
      <c r="S229" s="12"/>
      <c r="T229" s="22"/>
      <c r="AE229" s="23">
        <f t="shared" si="98"/>
        <v>78000</v>
      </c>
    </row>
    <row r="230" spans="1:34">
      <c r="A230" s="19">
        <v>1413114410</v>
      </c>
      <c r="B230" s="19" t="str">
        <f t="shared" si="118"/>
        <v>410</v>
      </c>
      <c r="C230" s="19" t="str">
        <f t="shared" si="119"/>
        <v>413114</v>
      </c>
      <c r="D230" s="19" t="s">
        <v>331</v>
      </c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>
        <f>-VLOOKUP(A:A,'[1]דוח כספי 31.10'!A:J,9,0)</f>
        <v>91000</v>
      </c>
      <c r="P230" s="20"/>
      <c r="Q230" s="20">
        <f t="shared" si="117"/>
        <v>0</v>
      </c>
      <c r="R230" s="69"/>
      <c r="S230" s="12"/>
      <c r="T230" s="22"/>
      <c r="AE230" s="23">
        <f t="shared" si="98"/>
        <v>91000</v>
      </c>
    </row>
    <row r="231" spans="1:34">
      <c r="A231" s="19">
        <v>1413115410</v>
      </c>
      <c r="B231" s="19" t="str">
        <f t="shared" si="118"/>
        <v>410</v>
      </c>
      <c r="C231" s="19" t="str">
        <f t="shared" si="119"/>
        <v>413115</v>
      </c>
      <c r="D231" s="19" t="s">
        <v>332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>
        <f>-VLOOKUP(A:A,'[1]דוח כספי 31.10'!A:J,9,0)</f>
        <v>74000</v>
      </c>
      <c r="P231" s="20"/>
      <c r="Q231" s="20">
        <f t="shared" si="117"/>
        <v>0</v>
      </c>
      <c r="R231" s="69"/>
      <c r="S231" s="12"/>
      <c r="T231" s="22"/>
      <c r="AE231" s="23">
        <f t="shared" si="98"/>
        <v>74000</v>
      </c>
    </row>
    <row r="232" spans="1:34">
      <c r="A232" s="19">
        <v>1413116410</v>
      </c>
      <c r="B232" s="19" t="str">
        <f t="shared" si="118"/>
        <v>410</v>
      </c>
      <c r="C232" s="19" t="str">
        <f t="shared" si="119"/>
        <v>413116</v>
      </c>
      <c r="D232" s="19" t="s">
        <v>333</v>
      </c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>
        <f>-VLOOKUP(A:A,'[1]דוח כספי 31.10'!A:J,9,0)</f>
        <v>128000</v>
      </c>
      <c r="P232" s="20"/>
      <c r="Q232" s="20">
        <f t="shared" si="117"/>
        <v>0</v>
      </c>
      <c r="R232" s="69"/>
      <c r="S232" s="12"/>
      <c r="T232" s="22"/>
      <c r="AE232" s="23">
        <f t="shared" si="98"/>
        <v>128000</v>
      </c>
    </row>
    <row r="233" spans="1:34">
      <c r="A233" s="19">
        <v>1413117410</v>
      </c>
      <c r="B233" s="19" t="str">
        <f t="shared" si="118"/>
        <v>410</v>
      </c>
      <c r="C233" s="19" t="str">
        <f t="shared" si="119"/>
        <v>413117</v>
      </c>
      <c r="D233" s="19" t="s">
        <v>334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>
        <f>-VLOOKUP(A:A,'[1]דוח כספי 31.10'!A:J,9,0)</f>
        <v>361000</v>
      </c>
      <c r="P233" s="20"/>
      <c r="Q233" s="20">
        <f t="shared" si="117"/>
        <v>0</v>
      </c>
      <c r="R233" s="69"/>
      <c r="S233" s="12"/>
      <c r="T233" s="22"/>
      <c r="AE233" s="23">
        <f t="shared" si="98"/>
        <v>361000</v>
      </c>
    </row>
    <row r="234" spans="1:34">
      <c r="A234" s="19">
        <v>1413118410</v>
      </c>
      <c r="B234" s="19" t="str">
        <f t="shared" si="118"/>
        <v>410</v>
      </c>
      <c r="C234" s="19" t="str">
        <f t="shared" si="119"/>
        <v>413118</v>
      </c>
      <c r="D234" s="19" t="s">
        <v>335</v>
      </c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>
        <f>-VLOOKUP(A:A,'[1]דוח כספי 31.10'!A:J,9,0)</f>
        <v>0</v>
      </c>
      <c r="P234" s="20"/>
      <c r="Q234" s="20">
        <f t="shared" si="117"/>
        <v>0</v>
      </c>
      <c r="R234" s="69"/>
      <c r="S234" s="12"/>
      <c r="T234" s="22"/>
      <c r="AE234" s="23">
        <f t="shared" si="98"/>
        <v>0</v>
      </c>
    </row>
    <row r="235" spans="1:34">
      <c r="A235" s="19">
        <v>1413119410</v>
      </c>
      <c r="B235" s="19" t="str">
        <f t="shared" si="118"/>
        <v>410</v>
      </c>
      <c r="C235" s="19" t="str">
        <f t="shared" si="119"/>
        <v>413119</v>
      </c>
      <c r="D235" s="19" t="s">
        <v>336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>
        <f>-VLOOKUP(A:A,'[1]דוח כספי 31.10'!A:J,9,0)</f>
        <v>0</v>
      </c>
      <c r="P235" s="20"/>
      <c r="Q235" s="20">
        <f t="shared" si="117"/>
        <v>0</v>
      </c>
      <c r="R235" s="69"/>
      <c r="S235" s="12"/>
      <c r="T235" s="22"/>
      <c r="AE235" s="23">
        <f t="shared" si="98"/>
        <v>0</v>
      </c>
    </row>
    <row r="236" spans="1:34">
      <c r="A236" s="19">
        <v>1413120410</v>
      </c>
      <c r="B236" s="19" t="str">
        <f t="shared" si="118"/>
        <v>410</v>
      </c>
      <c r="C236" s="19" t="str">
        <f t="shared" si="119"/>
        <v>413120</v>
      </c>
      <c r="D236" s="19" t="s">
        <v>337</v>
      </c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>
        <f>-VLOOKUP(A:A,'[1]דוח כספי 31.10'!A:J,9,0)</f>
        <v>5000</v>
      </c>
      <c r="P236" s="20">
        <f>-VLOOKUP(A:A,'[1]דוח כספי 31.10'!A:D,4,0)</f>
        <v>2471.52</v>
      </c>
      <c r="Q236" s="20">
        <v>3000</v>
      </c>
      <c r="R236" s="69"/>
      <c r="S236" s="12"/>
      <c r="T236" s="22"/>
      <c r="AE236" s="23">
        <f t="shared" si="98"/>
        <v>2528.48</v>
      </c>
    </row>
    <row r="237" spans="1:34">
      <c r="A237" s="19">
        <v>1413130410</v>
      </c>
      <c r="B237" s="19" t="str">
        <f t="shared" si="118"/>
        <v>410</v>
      </c>
      <c r="C237" s="19" t="str">
        <f t="shared" si="119"/>
        <v>413130</v>
      </c>
      <c r="D237" s="19" t="s">
        <v>338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>
        <f>-VLOOKUP(A:A,'[1]דוח כספי 31.10'!A:J,9,0)</f>
        <v>0</v>
      </c>
      <c r="P237" s="20">
        <f>-VLOOKUP(A:A,'[1]דוח כספי 31.10'!A:D,4,0)</f>
        <v>0</v>
      </c>
      <c r="Q237" s="20">
        <f t="shared" si="117"/>
        <v>0</v>
      </c>
      <c r="R237" s="69"/>
      <c r="S237" s="12"/>
      <c r="T237" s="22"/>
      <c r="AE237" s="23">
        <f t="shared" si="98"/>
        <v>0</v>
      </c>
    </row>
    <row r="238" spans="1:34">
      <c r="A238" s="19">
        <v>1413200410</v>
      </c>
      <c r="B238" s="19" t="str">
        <f t="shared" si="118"/>
        <v>410</v>
      </c>
      <c r="C238" s="19" t="str">
        <f t="shared" si="119"/>
        <v>413200</v>
      </c>
      <c r="D238" s="19" t="s">
        <v>339</v>
      </c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>
        <f>-VLOOKUP(A:A,'[1]דוח כספי 31.10'!A:J,9,0)</f>
        <v>15000</v>
      </c>
      <c r="P238" s="20">
        <f>-VLOOKUP(A:A,'[1]דוח כספי 31.10'!A:D,4,0)</f>
        <v>6428.77</v>
      </c>
      <c r="Q238" s="20">
        <v>8000</v>
      </c>
      <c r="R238" s="69"/>
      <c r="S238" s="12"/>
      <c r="T238" s="22"/>
      <c r="AE238" s="23">
        <f t="shared" si="98"/>
        <v>8571.23</v>
      </c>
    </row>
    <row r="239" spans="1:34">
      <c r="A239" s="19">
        <v>1413300210</v>
      </c>
      <c r="B239" s="19" t="str">
        <f t="shared" si="118"/>
        <v>210</v>
      </c>
      <c r="C239" s="19" t="str">
        <f t="shared" si="119"/>
        <v>413300</v>
      </c>
      <c r="D239" s="19" t="s">
        <v>340</v>
      </c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>
        <f>-VLOOKUP(A:A,'[1]דוח כספי 31.10'!A:J,9,0)</f>
        <v>12000</v>
      </c>
      <c r="P239" s="20">
        <f>-VLOOKUP(A:A,'[1]דוח כספי 31.10'!A:D,4,0)</f>
        <v>84401.12</v>
      </c>
      <c r="Q239" s="20">
        <v>101000</v>
      </c>
      <c r="R239" s="69"/>
      <c r="S239" s="12"/>
      <c r="T239" s="22"/>
      <c r="AE239" s="23">
        <f t="shared" si="98"/>
        <v>-72401.119999999995</v>
      </c>
    </row>
    <row r="240" spans="1:34">
      <c r="A240" s="174"/>
      <c r="B240" s="175"/>
      <c r="C240" s="175"/>
      <c r="D240" s="176" t="s">
        <v>341</v>
      </c>
      <c r="E240" s="177" t="e">
        <f>SUM(#REF!)</f>
        <v>#REF!</v>
      </c>
      <c r="F240" s="177" t="e">
        <f>SUM(#REF!)</f>
        <v>#REF!</v>
      </c>
      <c r="G240" s="177" t="e">
        <f>SUM(#REF!)</f>
        <v>#REF!</v>
      </c>
      <c r="H240" s="177" t="e">
        <f>SUM(#REF!)</f>
        <v>#REF!</v>
      </c>
      <c r="I240" s="177" t="e">
        <f>SUM(#REF!)</f>
        <v>#REF!</v>
      </c>
      <c r="J240" s="177" t="e">
        <f>SUM(#REF!)</f>
        <v>#REF!</v>
      </c>
      <c r="K240" s="177" t="e">
        <f>SUM(#REF!)</f>
        <v>#REF!</v>
      </c>
      <c r="L240" s="177" t="e">
        <f>SUM(#REF!)</f>
        <v>#REF!</v>
      </c>
      <c r="M240" s="177" t="e">
        <f>SUM(#REF!)</f>
        <v>#REF!</v>
      </c>
      <c r="N240" s="177" t="e">
        <f>SUM(#REF!)</f>
        <v>#REF!</v>
      </c>
      <c r="O240" s="177">
        <f>SUM(O225:O239)</f>
        <v>4488000</v>
      </c>
      <c r="P240" s="177">
        <f t="shared" ref="P240:Q240" si="120">SUM(P225:P239)</f>
        <v>3743301.41</v>
      </c>
      <c r="Q240" s="177">
        <f t="shared" si="120"/>
        <v>4562500</v>
      </c>
      <c r="R240" s="178"/>
      <c r="S240" s="12">
        <f t="shared" si="112"/>
        <v>1</v>
      </c>
      <c r="T240" s="22" t="e">
        <f t="shared" si="81"/>
        <v>#REF!</v>
      </c>
      <c r="AE240" s="23">
        <f t="shared" si="98"/>
        <v>744698.58999999985</v>
      </c>
    </row>
    <row r="241" spans="1:31">
      <c r="A241" s="179"/>
      <c r="B241" s="37" t="s">
        <v>680</v>
      </c>
      <c r="C241" s="37"/>
      <c r="D241" s="37"/>
      <c r="E241" s="37"/>
      <c r="F241" s="37"/>
      <c r="G241" s="37"/>
      <c r="H241" s="38"/>
      <c r="I241" s="20"/>
      <c r="J241" s="20"/>
      <c r="K241" s="20"/>
      <c r="L241" s="20"/>
      <c r="M241" s="20"/>
      <c r="N241" s="20"/>
      <c r="O241" s="20"/>
      <c r="P241" s="20"/>
      <c r="Q241" s="20"/>
      <c r="R241" s="69"/>
      <c r="S241" s="12">
        <f t="shared" si="112"/>
        <v>1</v>
      </c>
      <c r="T241" s="22">
        <f t="shared" si="81"/>
        <v>0</v>
      </c>
      <c r="AE241" s="23">
        <f t="shared" si="98"/>
        <v>0</v>
      </c>
    </row>
    <row r="242" spans="1:31">
      <c r="A242" s="189">
        <v>1472000211</v>
      </c>
      <c r="B242" s="189" t="str">
        <f>MID(A242,8,3)</f>
        <v>211</v>
      </c>
      <c r="C242" s="189" t="str">
        <f>MID(A242,2,6)</f>
        <v>472000</v>
      </c>
      <c r="D242" s="189" t="s">
        <v>681</v>
      </c>
      <c r="E242" s="190">
        <v>20000</v>
      </c>
      <c r="F242" s="190">
        <v>6766.56</v>
      </c>
      <c r="G242" s="190">
        <f>F242*12/10</f>
        <v>8119.8720000000003</v>
      </c>
      <c r="H242" s="190">
        <v>8000</v>
      </c>
      <c r="I242" s="190" t="e">
        <f>VLOOKUP(A242,#REF!,6,0)</f>
        <v>#REF!</v>
      </c>
      <c r="J242" s="190" t="e">
        <f t="shared" ref="J242:J243" si="121">+I242*1.71428571428571</f>
        <v>#REF!</v>
      </c>
      <c r="K242" s="190">
        <v>8000</v>
      </c>
      <c r="L242" s="190">
        <v>8000</v>
      </c>
      <c r="M242" s="190">
        <v>0</v>
      </c>
      <c r="N242" s="190">
        <f>VLOOKUP(A242,[1]כספי!$A$1:$E$324,5,0)</f>
        <v>2029.7</v>
      </c>
      <c r="O242" s="190">
        <v>0</v>
      </c>
      <c r="P242" s="190">
        <v>0</v>
      </c>
      <c r="Q242" s="190">
        <v>0</v>
      </c>
      <c r="R242" s="69"/>
      <c r="S242" s="12">
        <f t="shared" si="112"/>
        <v>1</v>
      </c>
      <c r="T242" s="22">
        <f t="shared" si="81"/>
        <v>0</v>
      </c>
      <c r="AE242" s="23">
        <f t="shared" si="98"/>
        <v>0</v>
      </c>
    </row>
    <row r="243" spans="1:31">
      <c r="A243" s="189">
        <v>1472000810</v>
      </c>
      <c r="B243" s="189" t="str">
        <f>MID(A243,8,3)</f>
        <v>810</v>
      </c>
      <c r="C243" s="189" t="str">
        <f>MID(A243,2,6)</f>
        <v>472000</v>
      </c>
      <c r="D243" s="189" t="s">
        <v>39</v>
      </c>
      <c r="E243" s="190">
        <v>65000</v>
      </c>
      <c r="F243" s="190">
        <v>28223.57</v>
      </c>
      <c r="G243" s="190">
        <f>F243*12/10</f>
        <v>33868.284</v>
      </c>
      <c r="H243" s="190">
        <v>37000</v>
      </c>
      <c r="I243" s="190" t="e">
        <f>VLOOKUP(A243,#REF!,6,0)</f>
        <v>#REF!</v>
      </c>
      <c r="J243" s="190" t="e">
        <f t="shared" si="121"/>
        <v>#REF!</v>
      </c>
      <c r="K243" s="190">
        <v>20000</v>
      </c>
      <c r="L243" s="190">
        <v>0</v>
      </c>
      <c r="M243" s="190">
        <v>0</v>
      </c>
      <c r="N243" s="190">
        <f>VLOOKUP(A243,[1]כספי!$A$1:$E$324,5,0)</f>
        <v>21676.13</v>
      </c>
      <c r="O243" s="190">
        <v>0</v>
      </c>
      <c r="P243" s="190">
        <v>0</v>
      </c>
      <c r="Q243" s="190">
        <v>0</v>
      </c>
      <c r="R243" s="69"/>
      <c r="S243" s="12">
        <f t="shared" si="112"/>
        <v>1</v>
      </c>
      <c r="T243" s="22">
        <f t="shared" ref="T243:T248" si="122">+P243-M243</f>
        <v>0</v>
      </c>
      <c r="AE243" s="23">
        <f t="shared" si="98"/>
        <v>0</v>
      </c>
    </row>
    <row r="244" spans="1:31">
      <c r="A244" s="174"/>
      <c r="B244" s="175"/>
      <c r="C244" s="175"/>
      <c r="D244" s="176" t="s">
        <v>682</v>
      </c>
      <c r="E244" s="177">
        <f>SUM(E242:E243)</f>
        <v>85000</v>
      </c>
      <c r="F244" s="177">
        <f>SUM(F242:F243)</f>
        <v>34990.129999999997</v>
      </c>
      <c r="G244" s="177">
        <f>SUM(G242:G243)</f>
        <v>41988.156000000003</v>
      </c>
      <c r="H244" s="177">
        <f>SUM(H242:H243)</f>
        <v>45000</v>
      </c>
      <c r="I244" s="177" t="e">
        <f>SUM(I242:I243)</f>
        <v>#REF!</v>
      </c>
      <c r="J244" s="177" t="e">
        <f t="shared" ref="J244:Q244" si="123">SUM(J242:J243)</f>
        <v>#REF!</v>
      </c>
      <c r="K244" s="177">
        <f t="shared" si="123"/>
        <v>28000</v>
      </c>
      <c r="L244" s="177">
        <f t="shared" si="123"/>
        <v>8000</v>
      </c>
      <c r="M244" s="177">
        <f t="shared" si="123"/>
        <v>0</v>
      </c>
      <c r="N244" s="177">
        <f t="shared" si="123"/>
        <v>23705.83</v>
      </c>
      <c r="O244" s="177">
        <f t="shared" si="123"/>
        <v>0</v>
      </c>
      <c r="P244" s="177">
        <f t="shared" si="123"/>
        <v>0</v>
      </c>
      <c r="Q244" s="177">
        <f t="shared" si="123"/>
        <v>0</v>
      </c>
      <c r="R244" s="178"/>
      <c r="S244" s="12">
        <f t="shared" si="112"/>
        <v>1</v>
      </c>
      <c r="T244" s="22">
        <f t="shared" si="122"/>
        <v>0</v>
      </c>
      <c r="AE244" s="23">
        <f t="shared" si="98"/>
        <v>0</v>
      </c>
    </row>
    <row r="245" spans="1:31">
      <c r="A245" s="179"/>
      <c r="B245" s="37" t="s">
        <v>342</v>
      </c>
      <c r="C245" s="37"/>
      <c r="D245" s="37"/>
      <c r="E245" s="37"/>
      <c r="F245" s="37"/>
      <c r="G245" s="37"/>
      <c r="H245" s="38"/>
      <c r="I245" s="20"/>
      <c r="J245" s="20"/>
      <c r="K245" s="20"/>
      <c r="L245" s="20"/>
      <c r="M245" s="20"/>
      <c r="N245" s="20"/>
      <c r="O245" s="20"/>
      <c r="P245" s="20"/>
      <c r="Q245" s="20">
        <f t="shared" ref="Q245:Q248" si="124">P245/10*12</f>
        <v>0</v>
      </c>
      <c r="R245" s="69"/>
      <c r="S245" s="12">
        <f t="shared" si="112"/>
        <v>1</v>
      </c>
      <c r="T245" s="22">
        <f t="shared" si="122"/>
        <v>0</v>
      </c>
      <c r="AE245" s="23">
        <f t="shared" si="98"/>
        <v>0</v>
      </c>
    </row>
    <row r="246" spans="1:31">
      <c r="A246" s="19">
        <v>1513000510</v>
      </c>
      <c r="B246" s="19" t="str">
        <f t="shared" ref="B246:B248" si="125">MID(A246,8,3)</f>
        <v>510</v>
      </c>
      <c r="C246" s="19" t="str">
        <f t="shared" ref="C246:C248" si="126">MID(A246,2,6)</f>
        <v>513000</v>
      </c>
      <c r="D246" s="19" t="s">
        <v>343</v>
      </c>
      <c r="E246" s="20">
        <v>20000</v>
      </c>
      <c r="F246" s="20">
        <v>15254.33</v>
      </c>
      <c r="G246" s="20">
        <f>F246*12/10</f>
        <v>18305.196</v>
      </c>
      <c r="H246" s="20">
        <f>G246</f>
        <v>18305.196</v>
      </c>
      <c r="I246" s="20" t="e">
        <f>VLOOKUP(A246,#REF!,6,0)</f>
        <v>#REF!</v>
      </c>
      <c r="J246" s="20" t="e">
        <f t="shared" ref="J246:J248" si="127">+I246*1.71428571428571</f>
        <v>#REF!</v>
      </c>
      <c r="K246" s="20">
        <v>32000</v>
      </c>
      <c r="L246" s="20">
        <v>32000</v>
      </c>
      <c r="M246" s="20">
        <v>0</v>
      </c>
      <c r="N246" s="20" t="e">
        <f>VLOOKUP(A246,[1]כספי!$A$1:$E$324,5,0)</f>
        <v>#N/A</v>
      </c>
      <c r="O246" s="20">
        <f>-VLOOKUP(A:A,'[1]דוח כספי 31.10'!A:J,9,0)</f>
        <v>0</v>
      </c>
      <c r="P246" s="20">
        <f>-VLOOKUP(A:A,'[1]דוח כספי 31.10'!A:D,4,0)</f>
        <v>0</v>
      </c>
      <c r="Q246" s="20">
        <f t="shared" si="124"/>
        <v>0</v>
      </c>
      <c r="R246" s="69"/>
      <c r="S246" s="12">
        <f t="shared" si="112"/>
        <v>1</v>
      </c>
      <c r="T246" s="22">
        <f t="shared" si="122"/>
        <v>0</v>
      </c>
      <c r="AE246" s="23">
        <f t="shared" si="98"/>
        <v>0</v>
      </c>
    </row>
    <row r="247" spans="1:31">
      <c r="A247" s="19">
        <v>1550000591</v>
      </c>
      <c r="B247" s="19" t="str">
        <f t="shared" si="125"/>
        <v>591</v>
      </c>
      <c r="C247" s="19" t="str">
        <f t="shared" si="126"/>
        <v>550000</v>
      </c>
      <c r="D247" s="19" t="s">
        <v>344</v>
      </c>
      <c r="E247" s="20"/>
      <c r="F247" s="20">
        <v>44646</v>
      </c>
      <c r="G247" s="20">
        <v>55000</v>
      </c>
      <c r="H247" s="20">
        <v>70000</v>
      </c>
      <c r="I247" s="20" t="e">
        <f>VLOOKUP(A247,#REF!,6,0)</f>
        <v>#REF!</v>
      </c>
      <c r="J247" s="20">
        <v>89292</v>
      </c>
      <c r="K247" s="20">
        <v>89292</v>
      </c>
      <c r="L247" s="20">
        <v>89000</v>
      </c>
      <c r="M247" s="20">
        <v>89000</v>
      </c>
      <c r="N247" s="20" t="e">
        <f>VLOOKUP(A247,[1]כספי!$A$1:$E$324,5,0)</f>
        <v>#N/A</v>
      </c>
      <c r="O247" s="20">
        <f>-VLOOKUP(A:A,'[1]דוח כספי 31.10'!A:J,9,0)</f>
        <v>0</v>
      </c>
      <c r="P247" s="20">
        <f>-VLOOKUP(A:A,'[1]דוח כספי 31.10'!A:D,4,0)</f>
        <v>0</v>
      </c>
      <c r="Q247" s="20">
        <f t="shared" si="124"/>
        <v>0</v>
      </c>
      <c r="R247" s="69"/>
      <c r="S247" s="12">
        <f t="shared" si="112"/>
        <v>1</v>
      </c>
      <c r="T247" s="22">
        <f t="shared" si="122"/>
        <v>-89000</v>
      </c>
      <c r="AE247" s="23">
        <f t="shared" si="98"/>
        <v>0</v>
      </c>
    </row>
    <row r="248" spans="1:31">
      <c r="A248" s="19">
        <v>1552000910</v>
      </c>
      <c r="B248" s="19" t="str">
        <f t="shared" si="125"/>
        <v>910</v>
      </c>
      <c r="C248" s="19" t="str">
        <f t="shared" si="126"/>
        <v>552000</v>
      </c>
      <c r="D248" s="19" t="s">
        <v>345</v>
      </c>
      <c r="E248" s="20">
        <v>180000</v>
      </c>
      <c r="F248" s="20">
        <v>57799.19</v>
      </c>
      <c r="G248" s="20">
        <v>250000</v>
      </c>
      <c r="H248" s="20">
        <v>250000</v>
      </c>
      <c r="I248" s="20" t="e">
        <f>VLOOKUP(A248,#REF!,6,0)</f>
        <v>#REF!</v>
      </c>
      <c r="J248" s="20" t="e">
        <f t="shared" si="127"/>
        <v>#REF!</v>
      </c>
      <c r="K248" s="20">
        <v>100000</v>
      </c>
      <c r="L248" s="20">
        <v>80000</v>
      </c>
      <c r="M248" s="20">
        <v>240000</v>
      </c>
      <c r="N248" s="20" t="e">
        <f>VLOOKUP(A248,[1]כספי!$A$1:$E$324,5,0)</f>
        <v>#N/A</v>
      </c>
      <c r="O248" s="20">
        <f>-VLOOKUP(A:A,'[1]דוח כספי 31.10'!A:J,9,0)</f>
        <v>0</v>
      </c>
      <c r="P248" s="20">
        <f>-VLOOKUP(A:A,'[1]דוח כספי 31.10'!A:D,4,0)</f>
        <v>0</v>
      </c>
      <c r="Q248" s="20">
        <f t="shared" si="124"/>
        <v>0</v>
      </c>
      <c r="R248" s="69"/>
      <c r="S248" s="12">
        <f t="shared" si="112"/>
        <v>1</v>
      </c>
      <c r="T248" s="22">
        <f t="shared" si="122"/>
        <v>-240000</v>
      </c>
      <c r="AE248" s="23">
        <f t="shared" si="98"/>
        <v>0</v>
      </c>
    </row>
    <row r="249" spans="1:31">
      <c r="A249" s="174"/>
      <c r="B249" s="175"/>
      <c r="C249" s="175"/>
      <c r="D249" s="176" t="s">
        <v>342</v>
      </c>
      <c r="E249" s="177">
        <f t="shared" ref="E249:Q249" si="128">SUM(E246:E248)</f>
        <v>200000</v>
      </c>
      <c r="F249" s="177">
        <f t="shared" si="128"/>
        <v>117699.52</v>
      </c>
      <c r="G249" s="177">
        <f t="shared" si="128"/>
        <v>323305.196</v>
      </c>
      <c r="H249" s="177">
        <f t="shared" si="128"/>
        <v>338305.196</v>
      </c>
      <c r="I249" s="177" t="e">
        <f t="shared" si="128"/>
        <v>#REF!</v>
      </c>
      <c r="J249" s="177" t="e">
        <f t="shared" si="128"/>
        <v>#REF!</v>
      </c>
      <c r="K249" s="177">
        <f t="shared" si="128"/>
        <v>221292</v>
      </c>
      <c r="L249" s="177">
        <f t="shared" si="128"/>
        <v>201000</v>
      </c>
      <c r="M249" s="177">
        <f t="shared" si="128"/>
        <v>329000</v>
      </c>
      <c r="N249" s="177" t="e">
        <f t="shared" si="128"/>
        <v>#N/A</v>
      </c>
      <c r="O249" s="177">
        <f t="shared" si="128"/>
        <v>0</v>
      </c>
      <c r="P249" s="177">
        <f t="shared" si="128"/>
        <v>0</v>
      </c>
      <c r="Q249" s="177">
        <f t="shared" si="128"/>
        <v>0</v>
      </c>
      <c r="R249" s="178"/>
      <c r="S249" s="12">
        <f t="shared" si="112"/>
        <v>1</v>
      </c>
      <c r="AE249" s="23">
        <f t="shared" si="98"/>
        <v>0</v>
      </c>
    </row>
    <row r="250" spans="1:31">
      <c r="A250" s="174"/>
      <c r="B250" s="191"/>
      <c r="C250" s="191"/>
      <c r="D250" s="192" t="s">
        <v>346</v>
      </c>
      <c r="E250" s="79" t="e">
        <f>E249+E244+E240+#REF!+E223+E179+E176+E161+E57+E28</f>
        <v>#REF!</v>
      </c>
      <c r="F250" s="79" t="e">
        <f>F249+F244+F240+#REF!+F223+F179+F176+F161+F57+F28</f>
        <v>#REF!</v>
      </c>
      <c r="G250" s="79" t="e">
        <f>G249+G244+G240+#REF!+G223+G179+G176+G161+G57+G28</f>
        <v>#REF!</v>
      </c>
      <c r="H250" s="79" t="e">
        <f>H249+H244+H240+#REF!+H223+H179+H176+H161+H57+H28</f>
        <v>#REF!</v>
      </c>
      <c r="I250" s="79" t="e">
        <f>I249+I244+I240+#REF!+I223+I179+I176+I161+I57+I28</f>
        <v>#REF!</v>
      </c>
      <c r="J250" s="79" t="e">
        <f>J249+J244+J240+#REF!+J223+J179+J176+J161+J57+J28</f>
        <v>#REF!</v>
      </c>
      <c r="K250" s="79" t="e">
        <f>K249+K244+K240+#REF!+K223+K179+K176+K161+K57+K28</f>
        <v>#REF!</v>
      </c>
      <c r="L250" s="79" t="e">
        <f>L249+L244+L240+#REF!+L223+L179+L176+L161+L57+L28</f>
        <v>#REF!</v>
      </c>
      <c r="M250" s="79" t="e">
        <f>M249+M244+M240+#REF!+M223+M179+M176+M161+M57+M28</f>
        <v>#REF!</v>
      </c>
      <c r="N250" s="79" t="e">
        <f>N249+N244+N240+#REF!+N223+N179+N176+N161+N57+N28</f>
        <v>#N/A</v>
      </c>
      <c r="O250" s="79">
        <f>O249+O244+O240+O223+O179+O176+O161+O57+O28</f>
        <v>62584000</v>
      </c>
      <c r="P250" s="79">
        <f>P249+P244+P240+P223+P179+P176+P161+P57+P28</f>
        <v>59286175.950000003</v>
      </c>
      <c r="Q250" s="79">
        <f>Q249+Q244+Q240+Q223+Q179+Q176+Q161+Q57+Q28</f>
        <v>71088499.752000004</v>
      </c>
      <c r="R250" s="178"/>
      <c r="S250" s="12">
        <f t="shared" si="112"/>
        <v>1</v>
      </c>
      <c r="AE250" s="23">
        <f t="shared" si="98"/>
        <v>3297824.049999997</v>
      </c>
    </row>
  </sheetData>
  <autoFilter ref="A2:T250"/>
  <mergeCells count="3">
    <mergeCell ref="B3:C3"/>
    <mergeCell ref="B20:C20"/>
    <mergeCell ref="B23:C23"/>
  </mergeCells>
  <conditionalFormatting sqref="B244 B64 B71 B77 B88 B57 B160:B161 B176 B184 B196 B202 B206 B212 B218 B179 B222:B223 B240 B249:B250 B16 B18:B19 B27:B28 B22:B23 A2:B3 B90">
    <cfRule type="cellIs" dxfId="1929" priority="2" operator="equal">
      <formula>"110"</formula>
    </cfRule>
  </conditionalFormatting>
  <conditionalFormatting sqref="B104">
    <cfRule type="cellIs" dxfId="1928" priority="1" operator="equal">
      <formula>"110"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8" fitToWidth="0" fitToHeight="0" orientation="portrait" r:id="rId1"/>
  <headerFooter>
    <oddHeader>עמוד &amp;P&amp;Rעדכון תקציב 2017</oddHeader>
    <oddFooter>&amp;C&amp;P</oddFooter>
  </headerFooter>
  <rowBreaks count="4" manualBreakCount="4">
    <brk id="71" max="31" man="1"/>
    <brk id="90" max="31" man="1"/>
    <brk id="161" max="31" man="1"/>
    <brk id="202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08"/>
  <sheetViews>
    <sheetView rightToLeft="1" view="pageBreakPreview" zoomScale="115" zoomScaleNormal="100" zoomScaleSheetLayoutView="115" workbookViewId="0">
      <pane xSplit="1" ySplit="2" topLeftCell="B385" activePane="bottomRight" state="frozen"/>
      <selection pane="topRight" activeCell="B1" sqref="B1"/>
      <selection pane="bottomLeft" activeCell="A3" sqref="A3"/>
      <selection pane="bottomRight" activeCell="B2" sqref="B2:V399"/>
    </sheetView>
  </sheetViews>
  <sheetFormatPr defaultRowHeight="24.95" customHeight="1"/>
  <cols>
    <col min="1" max="1" width="5.75" bestFit="1" customWidth="1"/>
    <col min="2" max="2" width="10.875" bestFit="1" customWidth="1"/>
    <col min="3" max="3" width="4.625" customWidth="1"/>
    <col min="4" max="4" width="6.125" customWidth="1"/>
    <col min="5" max="5" width="26.5" bestFit="1" customWidth="1"/>
    <col min="6" max="6" width="12.625" hidden="1" customWidth="1"/>
    <col min="7" max="7" width="12" hidden="1" customWidth="1"/>
    <col min="8" max="8" width="13.875" hidden="1" customWidth="1"/>
    <col min="9" max="9" width="11.875" hidden="1" customWidth="1"/>
    <col min="10" max="11" width="9.625" hidden="1" customWidth="1"/>
    <col min="12" max="12" width="10.5" hidden="1" customWidth="1"/>
    <col min="13" max="15" width="9.625" hidden="1" customWidth="1"/>
    <col min="16" max="16" width="9.875" bestFit="1" customWidth="1"/>
    <col min="17" max="17" width="11.25" hidden="1" customWidth="1"/>
    <col min="18" max="18" width="9.875" hidden="1" customWidth="1"/>
    <col min="19" max="19" width="12.875" bestFit="1" customWidth="1"/>
    <col min="20" max="20" width="11" customWidth="1"/>
    <col min="21" max="22" width="12.25" style="154" customWidth="1"/>
    <col min="23" max="23" width="9.25" style="155" hidden="1" customWidth="1"/>
    <col min="24" max="24" width="10.125" style="155" hidden="1" customWidth="1"/>
    <col min="25" max="32" width="9" hidden="1" customWidth="1"/>
    <col min="33" max="33" width="13.125" style="83" hidden="1" customWidth="1"/>
    <col min="34" max="34" width="9" hidden="1" customWidth="1"/>
    <col min="35" max="35" width="0.75" hidden="1" customWidth="1"/>
    <col min="36" max="36" width="10.875" bestFit="1" customWidth="1"/>
  </cols>
  <sheetData>
    <row r="1" spans="1:35" ht="24.95" customHeight="1"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2"/>
      <c r="V1" s="82"/>
      <c r="W1"/>
      <c r="X1"/>
    </row>
    <row r="2" spans="1:35" s="6" customFormat="1" ht="51" customHeight="1">
      <c r="A2" s="6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84" t="s">
        <v>347</v>
      </c>
      <c r="V2" s="84" t="s">
        <v>348</v>
      </c>
      <c r="Y2" s="6" t="s">
        <v>20</v>
      </c>
    </row>
    <row r="3" spans="1:35" ht="24.95" customHeight="1">
      <c r="A3" s="85"/>
      <c r="B3" s="86"/>
      <c r="C3" s="87" t="s">
        <v>349</v>
      </c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9"/>
      <c r="V3" s="89"/>
      <c r="W3" s="90"/>
      <c r="X3" s="91"/>
      <c r="Y3" s="85">
        <f>IF(ISBLANK(B3),1,--OR(L3&gt;1,M3&gt;1,N3&gt;1))</f>
        <v>1</v>
      </c>
      <c r="Z3" s="85"/>
      <c r="AA3" s="85"/>
      <c r="AB3" s="85"/>
      <c r="AC3" s="85"/>
      <c r="AD3" s="85"/>
      <c r="AE3" s="85"/>
      <c r="AF3" s="85"/>
      <c r="AG3" s="83">
        <f>P3-Q3</f>
        <v>0</v>
      </c>
    </row>
    <row r="4" spans="1:35" ht="24.95" customHeight="1">
      <c r="A4" s="85">
        <v>16</v>
      </c>
      <c r="B4" s="92">
        <v>1611100110</v>
      </c>
      <c r="C4" s="93" t="str">
        <f>MID(B4,8,3)</f>
        <v>110</v>
      </c>
      <c r="D4" s="93" t="str">
        <f>MID(B4,2,6)</f>
        <v>611100</v>
      </c>
      <c r="E4" s="93" t="s">
        <v>350</v>
      </c>
      <c r="F4" s="94">
        <v>748160</v>
      </c>
      <c r="G4" s="94">
        <v>617437.53</v>
      </c>
      <c r="H4" s="94">
        <f>G4*12/10</f>
        <v>740925.03600000008</v>
      </c>
      <c r="I4" s="94">
        <v>755642</v>
      </c>
      <c r="J4" s="95" t="e">
        <f>VLOOKUP(B4,#REF!,6,0)</f>
        <v>#REF!</v>
      </c>
      <c r="K4" s="95" t="e">
        <f>+J4*1.71428571428571</f>
        <v>#REF!</v>
      </c>
      <c r="L4" s="95">
        <v>753946</v>
      </c>
      <c r="M4" s="95">
        <v>752700</v>
      </c>
      <c r="N4" s="95">
        <v>755000</v>
      </c>
      <c r="O4" s="95">
        <f>VLOOKUP(B4,[3]כספי!$A$1:$E$324,5,0)</f>
        <v>487900.45</v>
      </c>
      <c r="P4" s="95">
        <f>VLOOKUP(B:B,'[3]תשלומים 2017'!B:R,15,0)</f>
        <v>1172000</v>
      </c>
      <c r="Q4" s="95">
        <f>VLOOKUP(B:B,'[3]דוח כספי 10.17 מעודכן'!A:D,4,0)</f>
        <v>1020928.08</v>
      </c>
      <c r="R4" s="95">
        <f>VLOOKUP(B:B,'[3]תשלומים 2017'!B:T,17,0)</f>
        <v>1360000</v>
      </c>
      <c r="S4" s="95">
        <f>Q4/9*12</f>
        <v>1361237.44</v>
      </c>
      <c r="T4" s="95">
        <v>1369000</v>
      </c>
      <c r="U4" s="96">
        <v>2</v>
      </c>
      <c r="V4" s="96">
        <v>2</v>
      </c>
      <c r="W4" s="97">
        <v>60207</v>
      </c>
      <c r="X4" s="91">
        <f>60207*12.1</f>
        <v>728504.7</v>
      </c>
      <c r="Y4" s="85">
        <f>IF(ISBLANK(B4),1,--OR(L4&gt;1,M4&gt;1,N4&gt;1))</f>
        <v>1</v>
      </c>
      <c r="Z4" s="98">
        <f>+Q4-N4</f>
        <v>265928.07999999996</v>
      </c>
      <c r="AA4" s="85"/>
      <c r="AB4" s="85"/>
      <c r="AC4" s="85"/>
      <c r="AD4" s="85"/>
      <c r="AE4" s="85"/>
      <c r="AF4" s="85"/>
      <c r="AG4"/>
    </row>
    <row r="5" spans="1:35" s="108" customFormat="1" ht="24.95" customHeight="1">
      <c r="A5" s="99">
        <v>16</v>
      </c>
      <c r="B5" s="100">
        <v>1611000310</v>
      </c>
      <c r="C5" s="101" t="str">
        <f t="shared" ref="C5:C18" si="0">MID(B5,8,3)</f>
        <v>310</v>
      </c>
      <c r="D5" s="101" t="str">
        <f t="shared" ref="D5:D18" si="1">MID(B5,2,6)</f>
        <v>611000</v>
      </c>
      <c r="E5" s="102" t="s">
        <v>351</v>
      </c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>
        <f>VLOOKUP(B:B,'[3]תשלומים 2017'!B:R,15,0)</f>
        <v>0</v>
      </c>
      <c r="Q5" s="103">
        <f>VLOOKUP(B:B,'[3]דוח כספי 10.17 מעודכן'!A:D,4,0)</f>
        <v>187473.55</v>
      </c>
      <c r="R5" s="103">
        <f>VLOOKUP(B:B,'[3]תשלומים 2017'!B:T,17,0)</f>
        <v>0</v>
      </c>
      <c r="S5" s="103">
        <v>0</v>
      </c>
      <c r="T5" s="103">
        <v>0</v>
      </c>
      <c r="U5" s="104"/>
      <c r="V5" s="104"/>
      <c r="W5" s="105"/>
      <c r="X5" s="106"/>
      <c r="Y5" s="99"/>
      <c r="Z5" s="107"/>
      <c r="AA5" s="99"/>
      <c r="AB5" s="99"/>
      <c r="AC5" s="99"/>
      <c r="AD5" s="99"/>
      <c r="AE5" s="99"/>
      <c r="AF5" s="99"/>
      <c r="AI5" s="108" t="s">
        <v>352</v>
      </c>
    </row>
    <row r="6" spans="1:35" s="108" customFormat="1" ht="24.95" customHeight="1">
      <c r="A6" s="99">
        <v>16</v>
      </c>
      <c r="B6" s="100">
        <v>1611100310</v>
      </c>
      <c r="C6" s="101" t="str">
        <f t="shared" si="0"/>
        <v>310</v>
      </c>
      <c r="D6" s="101" t="str">
        <f t="shared" si="1"/>
        <v>611100</v>
      </c>
      <c r="E6" s="102" t="s">
        <v>353</v>
      </c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>
        <f>VLOOKUP(B:B,'[3]תשלומים 2017'!B:R,15,0)</f>
        <v>750000</v>
      </c>
      <c r="Q6" s="103">
        <f>VLOOKUP(B:B,'[3]דוח כספי 10.17 מעודכן'!A:D,4,0)</f>
        <v>312465.09999999998</v>
      </c>
      <c r="R6" s="103">
        <f>VLOOKUP(B:B,'[3]תשלומים 2017'!B:T,17,0)</f>
        <v>700000</v>
      </c>
      <c r="S6" s="103">
        <f>Q6/9*12</f>
        <v>416620.1333333333</v>
      </c>
      <c r="T6" s="103">
        <v>0</v>
      </c>
      <c r="U6" s="104"/>
      <c r="V6" s="104"/>
      <c r="W6" s="105"/>
      <c r="X6" s="106"/>
      <c r="Y6" s="99"/>
      <c r="Z6" s="107"/>
      <c r="AA6" s="99"/>
      <c r="AB6" s="99"/>
      <c r="AC6" s="99"/>
      <c r="AD6" s="99"/>
      <c r="AE6" s="99"/>
      <c r="AF6" s="99"/>
      <c r="AI6" s="108" t="s">
        <v>352</v>
      </c>
    </row>
    <row r="7" spans="1:35" ht="24.95" customHeight="1">
      <c r="A7" s="85">
        <v>15</v>
      </c>
      <c r="B7" s="92">
        <v>1611100440</v>
      </c>
      <c r="C7" s="109" t="str">
        <f t="shared" si="0"/>
        <v>440</v>
      </c>
      <c r="D7" s="109" t="str">
        <f t="shared" si="1"/>
        <v>611100</v>
      </c>
      <c r="E7" s="93" t="s">
        <v>354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95">
        <f>VLOOKUP(B:B,'[3]תשלומים 2017'!B:R,15,0)</f>
        <v>19000</v>
      </c>
      <c r="Q7" s="95">
        <f>VLOOKUP(B:B,'[3]דוח כספי 10.17 מעודכן'!A:D,4,0)</f>
        <v>0</v>
      </c>
      <c r="R7" s="95">
        <f>VLOOKUP(B:B,'[3]תשלומים 2017'!B:T,17,0)</f>
        <v>0</v>
      </c>
      <c r="S7" s="95">
        <v>0</v>
      </c>
      <c r="T7" s="95">
        <v>0</v>
      </c>
      <c r="U7" s="110"/>
      <c r="V7" s="110"/>
      <c r="W7" s="97"/>
      <c r="X7" s="91"/>
      <c r="Y7" s="85"/>
      <c r="Z7" s="98"/>
      <c r="AA7" s="85"/>
      <c r="AB7" s="85"/>
      <c r="AC7" s="85"/>
      <c r="AD7" s="85"/>
      <c r="AE7" s="85"/>
      <c r="AF7" s="85"/>
      <c r="AG7" s="83">
        <f t="shared" ref="AG7:AG16" si="2">P7-Q7</f>
        <v>19000</v>
      </c>
    </row>
    <row r="8" spans="1:35" ht="24.95" customHeight="1">
      <c r="A8" s="85">
        <v>15</v>
      </c>
      <c r="B8" s="92">
        <v>1611100510</v>
      </c>
      <c r="C8" s="109" t="str">
        <f t="shared" si="0"/>
        <v>510</v>
      </c>
      <c r="D8" s="109" t="str">
        <f t="shared" si="1"/>
        <v>611100</v>
      </c>
      <c r="E8" s="93" t="s">
        <v>355</v>
      </c>
      <c r="F8" s="95"/>
      <c r="G8" s="95"/>
      <c r="H8" s="95"/>
      <c r="I8" s="95"/>
      <c r="J8" s="95"/>
      <c r="K8" s="95"/>
      <c r="L8" s="95"/>
      <c r="M8" s="95"/>
      <c r="N8" s="95"/>
      <c r="O8" s="95"/>
      <c r="P8" s="95">
        <f>VLOOKUP(B:B,'[3]תשלומים 2017'!B:R,15,0)</f>
        <v>4000</v>
      </c>
      <c r="Q8" s="95">
        <f>VLOOKUP(B:B,'[3]דוח כספי 10.17 מעודכן'!A:D,4,0)</f>
        <v>0</v>
      </c>
      <c r="R8" s="95">
        <f>VLOOKUP(B:B,'[3]תשלומים 2017'!B:T,17,0)</f>
        <v>4000</v>
      </c>
      <c r="S8" s="95">
        <f>Q8/10*12</f>
        <v>0</v>
      </c>
      <c r="T8" s="95">
        <v>4000</v>
      </c>
      <c r="U8" s="110"/>
      <c r="V8" s="110"/>
      <c r="W8" s="97"/>
      <c r="X8" s="91"/>
      <c r="Y8" s="85"/>
      <c r="Z8" s="98"/>
      <c r="AA8" s="85"/>
      <c r="AB8" s="85"/>
      <c r="AC8" s="85"/>
      <c r="AD8" s="85"/>
      <c r="AE8" s="85"/>
      <c r="AF8" s="85"/>
      <c r="AG8" s="83">
        <f t="shared" si="2"/>
        <v>4000</v>
      </c>
    </row>
    <row r="9" spans="1:35" ht="24.95" customHeight="1">
      <c r="A9" s="85">
        <v>15</v>
      </c>
      <c r="B9" s="92">
        <v>1611100514</v>
      </c>
      <c r="C9" s="109" t="str">
        <f t="shared" si="0"/>
        <v>514</v>
      </c>
      <c r="D9" s="109" t="str">
        <f t="shared" si="1"/>
        <v>611100</v>
      </c>
      <c r="E9" s="93" t="s">
        <v>356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>
        <f>VLOOKUP(B:B,'[3]תשלומים 2017'!B:R,15,0)</f>
        <v>16000</v>
      </c>
      <c r="Q9" s="95">
        <f>VLOOKUP(B:B,'[3]דוח כספי 10.17 מעודכן'!A:D,4,0)</f>
        <v>0</v>
      </c>
      <c r="R9" s="95">
        <f>VLOOKUP(B:B,'[3]תשלומים 2017'!B:T,17,0)</f>
        <v>16000</v>
      </c>
      <c r="S9" s="95">
        <f t="shared" ref="S9:S19" si="3">Q9/10*12</f>
        <v>0</v>
      </c>
      <c r="T9" s="95">
        <v>16000</v>
      </c>
      <c r="U9" s="110"/>
      <c r="V9" s="110"/>
      <c r="W9" s="97"/>
      <c r="X9" s="91"/>
      <c r="Y9" s="85"/>
      <c r="Z9" s="98"/>
      <c r="AA9" s="85"/>
      <c r="AB9" s="85"/>
      <c r="AC9" s="85"/>
      <c r="AD9" s="85"/>
      <c r="AE9" s="85"/>
      <c r="AF9" s="85"/>
      <c r="AG9" s="83">
        <f t="shared" si="2"/>
        <v>16000</v>
      </c>
    </row>
    <row r="10" spans="1:35" ht="24.95" customHeight="1">
      <c r="A10" s="85">
        <v>15</v>
      </c>
      <c r="B10" s="92">
        <v>1611100521</v>
      </c>
      <c r="C10" s="109" t="str">
        <f t="shared" si="0"/>
        <v>521</v>
      </c>
      <c r="D10" s="109" t="str">
        <f t="shared" si="1"/>
        <v>611100</v>
      </c>
      <c r="E10" s="93" t="s">
        <v>357</v>
      </c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>
        <f>VLOOKUP(B:B,'[3]תשלומים 2017'!B:R,15,0)</f>
        <v>0</v>
      </c>
      <c r="Q10" s="95">
        <f>VLOOKUP(B:B,'[3]דוח כספי 10.17 מעודכן'!A:D,4,0)</f>
        <v>2000</v>
      </c>
      <c r="R10" s="95">
        <f>VLOOKUP(B:B,'[3]תשלומים 2017'!B:T,17,0)</f>
        <v>3000</v>
      </c>
      <c r="S10" s="95">
        <f t="shared" si="3"/>
        <v>2400</v>
      </c>
      <c r="T10" s="95">
        <v>2500</v>
      </c>
      <c r="U10" s="110"/>
      <c r="V10" s="110"/>
      <c r="W10" s="97"/>
      <c r="X10" s="91"/>
      <c r="Y10" s="85"/>
      <c r="Z10" s="98"/>
      <c r="AA10" s="85"/>
      <c r="AB10" s="85"/>
      <c r="AC10" s="85"/>
      <c r="AD10" s="85"/>
      <c r="AE10" s="85"/>
      <c r="AF10" s="85"/>
      <c r="AG10" s="83">
        <f t="shared" si="2"/>
        <v>-2000</v>
      </c>
    </row>
    <row r="11" spans="1:35" ht="24.95" customHeight="1">
      <c r="A11" s="85">
        <v>15</v>
      </c>
      <c r="B11" s="100">
        <v>1611100525</v>
      </c>
      <c r="C11" s="101" t="str">
        <f t="shared" si="0"/>
        <v>525</v>
      </c>
      <c r="D11" s="101" t="str">
        <f t="shared" si="1"/>
        <v>611100</v>
      </c>
      <c r="E11" s="102" t="s">
        <v>358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>
        <f>VLOOKUP(B:B,'[3]תשלומים 2017'!B:R,15,0)</f>
        <v>0</v>
      </c>
      <c r="Q11" s="103">
        <f>VLOOKUP(B:B,'[3]דוח כספי 10.17 מעודכן'!A:D,4,0)</f>
        <v>97670</v>
      </c>
      <c r="R11" s="103">
        <f>VLOOKUP(B:B,'[3]תשלומים 2017'!B:T,17,0)</f>
        <v>98000</v>
      </c>
      <c r="S11" s="103">
        <v>0</v>
      </c>
      <c r="T11" s="103">
        <v>0</v>
      </c>
      <c r="U11" s="104"/>
      <c r="V11" s="104"/>
      <c r="W11" s="97"/>
      <c r="X11" s="91"/>
      <c r="Y11" s="85"/>
      <c r="Z11" s="98"/>
      <c r="AA11" s="85"/>
      <c r="AB11" s="85"/>
      <c r="AC11" s="85"/>
      <c r="AD11" s="85"/>
      <c r="AE11" s="85"/>
      <c r="AF11" s="85"/>
      <c r="AG11" s="83">
        <f t="shared" si="2"/>
        <v>-97670</v>
      </c>
    </row>
    <row r="12" spans="1:35" ht="24.95" customHeight="1">
      <c r="A12" s="85">
        <v>15</v>
      </c>
      <c r="B12" s="92">
        <v>1611100531</v>
      </c>
      <c r="C12" s="109" t="str">
        <f t="shared" si="0"/>
        <v>531</v>
      </c>
      <c r="D12" s="109" t="str">
        <f t="shared" si="1"/>
        <v>611100</v>
      </c>
      <c r="E12" s="93" t="s">
        <v>359</v>
      </c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>
        <f>VLOOKUP(B:B,'[3]תשלומים 2017'!B:R,15,0)</f>
        <v>0</v>
      </c>
      <c r="Q12" s="95">
        <f>VLOOKUP(B:B,'[3]דוח כספי 10.17 מעודכן'!A:D,4,0)</f>
        <v>42395</v>
      </c>
      <c r="R12" s="95">
        <f>VLOOKUP(B:B,'[3]תשלומים 2017'!B:T,17,0)</f>
        <v>52000</v>
      </c>
      <c r="S12" s="95">
        <f t="shared" si="3"/>
        <v>50874</v>
      </c>
      <c r="T12" s="95">
        <v>52000</v>
      </c>
      <c r="U12" s="110"/>
      <c r="V12" s="110"/>
      <c r="W12" s="97"/>
      <c r="X12" s="91"/>
      <c r="Y12" s="85"/>
      <c r="Z12" s="98"/>
      <c r="AA12" s="85"/>
      <c r="AB12" s="85"/>
      <c r="AC12" s="85"/>
      <c r="AD12" s="85"/>
      <c r="AE12" s="85"/>
      <c r="AF12" s="85"/>
      <c r="AG12" s="83">
        <f t="shared" si="2"/>
        <v>-42395</v>
      </c>
    </row>
    <row r="13" spans="1:35" ht="24.95" customHeight="1">
      <c r="A13" s="85">
        <v>15</v>
      </c>
      <c r="B13" s="92">
        <v>1611100540</v>
      </c>
      <c r="C13" s="109" t="str">
        <f t="shared" si="0"/>
        <v>540</v>
      </c>
      <c r="D13" s="109" t="str">
        <f t="shared" si="1"/>
        <v>611100</v>
      </c>
      <c r="E13" s="93" t="s">
        <v>360</v>
      </c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>
        <f>VLOOKUP(B:B,'[3]תשלומים 2017'!B:R,15,0)</f>
        <v>12000</v>
      </c>
      <c r="Q13" s="95">
        <f>VLOOKUP(B:B,'[3]דוח כספי 10.17 מעודכן'!A:D,4,0)</f>
        <v>36994.410000000003</v>
      </c>
      <c r="R13" s="95">
        <f>VLOOKUP(B:B,'[3]תשלומים 2017'!B:T,17,0)</f>
        <v>45000</v>
      </c>
      <c r="S13" s="95">
        <f t="shared" si="3"/>
        <v>44393.292000000001</v>
      </c>
      <c r="T13" s="95">
        <v>45000</v>
      </c>
      <c r="U13" s="110"/>
      <c r="V13" s="110"/>
      <c r="W13" s="97"/>
      <c r="X13" s="91"/>
      <c r="Y13" s="85"/>
      <c r="Z13" s="98"/>
      <c r="AA13" s="85"/>
      <c r="AB13" s="85"/>
      <c r="AC13" s="85"/>
      <c r="AD13" s="85"/>
      <c r="AE13" s="85"/>
      <c r="AF13" s="85"/>
      <c r="AG13" s="83">
        <f t="shared" si="2"/>
        <v>-24994.410000000003</v>
      </c>
    </row>
    <row r="14" spans="1:35" ht="24.95" customHeight="1">
      <c r="A14" s="85">
        <v>15</v>
      </c>
      <c r="B14" s="92">
        <v>1611100550</v>
      </c>
      <c r="C14" s="109" t="str">
        <f t="shared" si="0"/>
        <v>550</v>
      </c>
      <c r="D14" s="109" t="str">
        <f t="shared" si="1"/>
        <v>611100</v>
      </c>
      <c r="E14" s="93" t="s">
        <v>361</v>
      </c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>
        <f>VLOOKUP(B:B,'[3]תשלומים 2017'!B:R,15,0)</f>
        <v>0</v>
      </c>
      <c r="Q14" s="95">
        <f>VLOOKUP(B:B,'[3]דוח כספי 10.17 מעודכן'!A:D,4,0)</f>
        <v>0</v>
      </c>
      <c r="R14" s="95">
        <f>VLOOKUP(B:B,'[3]תשלומים 2017'!B:T,17,0)</f>
        <v>0</v>
      </c>
      <c r="S14" s="95">
        <f t="shared" si="3"/>
        <v>0</v>
      </c>
      <c r="T14" s="95">
        <v>0</v>
      </c>
      <c r="U14" s="110"/>
      <c r="V14" s="110"/>
      <c r="W14" s="97"/>
      <c r="X14" s="91"/>
      <c r="Y14" s="85"/>
      <c r="Z14" s="98"/>
      <c r="AA14" s="85"/>
      <c r="AB14" s="85"/>
      <c r="AC14" s="85"/>
      <c r="AD14" s="85"/>
      <c r="AE14" s="85"/>
      <c r="AF14" s="85"/>
      <c r="AG14" s="83">
        <f t="shared" si="2"/>
        <v>0</v>
      </c>
    </row>
    <row r="15" spans="1:35" ht="24.95" customHeight="1">
      <c r="A15" s="85">
        <v>15</v>
      </c>
      <c r="B15" s="92">
        <v>1611100810</v>
      </c>
      <c r="C15" s="109" t="str">
        <f t="shared" si="0"/>
        <v>810</v>
      </c>
      <c r="D15" s="109" t="str">
        <f t="shared" si="1"/>
        <v>611100</v>
      </c>
      <c r="E15" s="93" t="s">
        <v>362</v>
      </c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>
        <f>VLOOKUP(B:B,'[3]תשלומים 2017'!B:R,15,0)</f>
        <v>0</v>
      </c>
      <c r="Q15" s="95">
        <f>VLOOKUP(B:B,'[3]דוח כספי 10.17 מעודכן'!A:D,4,0)</f>
        <v>0</v>
      </c>
      <c r="R15" s="95">
        <f>VLOOKUP(B:B,'[3]תשלומים 2017'!B:T,17,0)</f>
        <v>0</v>
      </c>
      <c r="S15" s="95">
        <f t="shared" si="3"/>
        <v>0</v>
      </c>
      <c r="T15" s="95">
        <v>0</v>
      </c>
      <c r="U15" s="110"/>
      <c r="V15" s="110"/>
      <c r="W15" s="97"/>
      <c r="X15" s="91"/>
      <c r="Y15" s="85"/>
      <c r="Z15" s="98"/>
      <c r="AA15" s="85"/>
      <c r="AB15" s="85"/>
      <c r="AC15" s="85"/>
      <c r="AD15" s="85"/>
      <c r="AE15" s="85"/>
      <c r="AF15" s="85"/>
      <c r="AG15" s="83">
        <f t="shared" si="2"/>
        <v>0</v>
      </c>
    </row>
    <row r="16" spans="1:35" ht="24.95" customHeight="1">
      <c r="A16" s="85">
        <v>15</v>
      </c>
      <c r="B16" s="92">
        <v>1611100910</v>
      </c>
      <c r="C16" s="109" t="str">
        <f t="shared" si="0"/>
        <v>910</v>
      </c>
      <c r="D16" s="109" t="str">
        <f t="shared" si="1"/>
        <v>611100</v>
      </c>
      <c r="E16" s="93" t="s">
        <v>363</v>
      </c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>
        <f>VLOOKUP(B:B,'[3]תשלומים 2017'!B:R,15,0)</f>
        <v>0</v>
      </c>
      <c r="Q16" s="95">
        <f>VLOOKUP(B:B,'[3]דוח כספי 10.17 מעודכן'!A:D,4,0)</f>
        <v>0</v>
      </c>
      <c r="R16" s="95">
        <f>VLOOKUP(B:B,'[3]תשלומים 2017'!B:T,17,0)</f>
        <v>0</v>
      </c>
      <c r="S16" s="95">
        <f t="shared" si="3"/>
        <v>0</v>
      </c>
      <c r="T16" s="95">
        <v>0</v>
      </c>
      <c r="U16" s="110"/>
      <c r="V16" s="110"/>
      <c r="W16" s="97"/>
      <c r="X16" s="91"/>
      <c r="Y16" s="85"/>
      <c r="Z16" s="98"/>
      <c r="AA16" s="85"/>
      <c r="AB16" s="85"/>
      <c r="AC16" s="85"/>
      <c r="AD16" s="85"/>
      <c r="AE16" s="85"/>
      <c r="AF16" s="85"/>
      <c r="AG16" s="83">
        <f t="shared" si="2"/>
        <v>0</v>
      </c>
    </row>
    <row r="17" spans="1:35" ht="24.95" customHeight="1">
      <c r="A17" s="85">
        <v>16</v>
      </c>
      <c r="B17" s="92">
        <v>1611120110</v>
      </c>
      <c r="C17" s="93" t="str">
        <f t="shared" si="0"/>
        <v>110</v>
      </c>
      <c r="D17" s="93" t="str">
        <f t="shared" si="1"/>
        <v>611120</v>
      </c>
      <c r="E17" s="93" t="s">
        <v>364</v>
      </c>
      <c r="F17" s="94"/>
      <c r="G17" s="94"/>
      <c r="H17" s="94"/>
      <c r="I17" s="94"/>
      <c r="J17" s="95"/>
      <c r="K17" s="95"/>
      <c r="L17" s="95"/>
      <c r="M17" s="95"/>
      <c r="N17" s="95"/>
      <c r="O17" s="95"/>
      <c r="P17" s="95">
        <f>VLOOKUP(B:B,'[3]תשלומים 2017'!B:R,15,0)</f>
        <v>0</v>
      </c>
      <c r="Q17" s="95">
        <f>VLOOKUP(B:B,'[3]דוח כספי 10.17 מעודכן'!A:D,4,0)</f>
        <v>0</v>
      </c>
      <c r="R17" s="95">
        <f>VLOOKUP(B:B,'[3]תשלומים 2017'!B:T,17,0)</f>
        <v>0</v>
      </c>
      <c r="S17" s="95">
        <f t="shared" si="3"/>
        <v>0</v>
      </c>
      <c r="T17" s="95">
        <v>0</v>
      </c>
      <c r="U17" s="111"/>
      <c r="V17" s="111"/>
      <c r="W17" s="97"/>
      <c r="X17" s="91"/>
      <c r="Y17" s="85"/>
      <c r="Z17" s="98"/>
      <c r="AA17" s="85"/>
      <c r="AB17" s="85"/>
      <c r="AC17" s="85"/>
      <c r="AD17" s="85"/>
      <c r="AE17" s="85"/>
      <c r="AF17" s="85"/>
      <c r="AG17"/>
      <c r="AI17" t="s">
        <v>365</v>
      </c>
    </row>
    <row r="18" spans="1:35" ht="24.95" customHeight="1">
      <c r="A18" s="85">
        <v>16</v>
      </c>
      <c r="B18" s="92">
        <v>1611130110</v>
      </c>
      <c r="C18" s="93" t="str">
        <f t="shared" si="0"/>
        <v>110</v>
      </c>
      <c r="D18" s="93" t="str">
        <f t="shared" si="1"/>
        <v>611130</v>
      </c>
      <c r="E18" s="93" t="s">
        <v>366</v>
      </c>
      <c r="F18" s="94"/>
      <c r="G18" s="94"/>
      <c r="H18" s="94"/>
      <c r="I18" s="94"/>
      <c r="J18" s="95"/>
      <c r="K18" s="95"/>
      <c r="L18" s="95"/>
      <c r="M18" s="95"/>
      <c r="N18" s="95"/>
      <c r="O18" s="95"/>
      <c r="P18" s="95">
        <f>VLOOKUP(B:B,'[3]תשלומים 2017'!B:R,15,0)</f>
        <v>0</v>
      </c>
      <c r="Q18" s="95">
        <f>VLOOKUP(B:B,'[3]דוח כספי 10.17 מעודכן'!A:D,4,0)</f>
        <v>0</v>
      </c>
      <c r="R18" s="95">
        <f>VLOOKUP(B:B,'[3]תשלומים 2017'!B:T,17,0)</f>
        <v>0</v>
      </c>
      <c r="S18" s="95">
        <f t="shared" si="3"/>
        <v>0</v>
      </c>
      <c r="T18" s="95">
        <v>0</v>
      </c>
      <c r="U18" s="111"/>
      <c r="V18" s="111"/>
      <c r="W18" s="97"/>
      <c r="X18" s="91"/>
      <c r="Y18" s="85"/>
      <c r="Z18" s="98"/>
      <c r="AA18" s="85"/>
      <c r="AB18" s="85"/>
      <c r="AC18" s="85"/>
      <c r="AD18" s="85"/>
      <c r="AE18" s="85"/>
      <c r="AF18" s="85"/>
      <c r="AG18"/>
    </row>
    <row r="19" spans="1:35" ht="24.95" customHeight="1">
      <c r="A19" s="85">
        <v>16</v>
      </c>
      <c r="B19" s="92">
        <v>1611200110</v>
      </c>
      <c r="C19" s="93" t="str">
        <f>MID(B19,8,3)</f>
        <v>110</v>
      </c>
      <c r="D19" s="93" t="str">
        <f>MID(B19,2,6)</f>
        <v>611200</v>
      </c>
      <c r="E19" s="93" t="s">
        <v>367</v>
      </c>
      <c r="F19" s="94"/>
      <c r="G19" s="94"/>
      <c r="H19" s="94"/>
      <c r="I19" s="94"/>
      <c r="J19" s="95"/>
      <c r="K19" s="95"/>
      <c r="L19" s="95"/>
      <c r="M19" s="95"/>
      <c r="N19" s="95"/>
      <c r="O19" s="95"/>
      <c r="P19" s="95">
        <f>VLOOKUP(B:B,'[3]תשלומים 2017'!B:R,15,0)</f>
        <v>0</v>
      </c>
      <c r="Q19" s="95">
        <f>VLOOKUP(B:B,'[3]דוח כספי 10.17 מעודכן'!A:D,4,0)</f>
        <v>0</v>
      </c>
      <c r="R19" s="95">
        <f>VLOOKUP(B:B,'[3]תשלומים 2017'!B:T,17,0)</f>
        <v>0</v>
      </c>
      <c r="S19" s="95">
        <f t="shared" si="3"/>
        <v>0</v>
      </c>
      <c r="T19" s="95">
        <v>0</v>
      </c>
      <c r="U19" s="111"/>
      <c r="V19" s="111"/>
      <c r="W19" s="97"/>
      <c r="X19" s="91"/>
      <c r="Y19" s="85"/>
      <c r="Z19" s="98"/>
      <c r="AA19" s="85"/>
      <c r="AB19" s="85"/>
      <c r="AC19" s="85"/>
      <c r="AD19" s="85"/>
      <c r="AE19" s="85"/>
      <c r="AF19" s="85"/>
      <c r="AG19"/>
    </row>
    <row r="20" spans="1:35" s="1" customFormat="1" ht="24.95" customHeight="1">
      <c r="B20" s="28"/>
      <c r="C20" s="29"/>
      <c r="D20" s="29"/>
      <c r="E20" s="29" t="s">
        <v>368</v>
      </c>
      <c r="F20" s="30">
        <f t="shared" ref="F20:R20" si="4">SUM(F4:F19)</f>
        <v>748160</v>
      </c>
      <c r="G20" s="30">
        <f t="shared" si="4"/>
        <v>617437.53</v>
      </c>
      <c r="H20" s="30">
        <f t="shared" si="4"/>
        <v>740925.03600000008</v>
      </c>
      <c r="I20" s="30">
        <f t="shared" si="4"/>
        <v>755642</v>
      </c>
      <c r="J20" s="30" t="e">
        <f t="shared" si="4"/>
        <v>#REF!</v>
      </c>
      <c r="K20" s="30" t="e">
        <f t="shared" si="4"/>
        <v>#REF!</v>
      </c>
      <c r="L20" s="30">
        <f t="shared" si="4"/>
        <v>753946</v>
      </c>
      <c r="M20" s="30">
        <f t="shared" si="4"/>
        <v>752700</v>
      </c>
      <c r="N20" s="30">
        <f t="shared" si="4"/>
        <v>755000</v>
      </c>
      <c r="O20" s="30">
        <f t="shared" si="4"/>
        <v>487900.45</v>
      </c>
      <c r="P20" s="30">
        <f t="shared" si="4"/>
        <v>1973000</v>
      </c>
      <c r="Q20" s="30">
        <f t="shared" si="4"/>
        <v>1699926.14</v>
      </c>
      <c r="R20" s="30">
        <f t="shared" si="4"/>
        <v>2278000</v>
      </c>
      <c r="S20" s="30">
        <f>SUM(S4:S19)</f>
        <v>1875524.8653333331</v>
      </c>
      <c r="T20" s="30">
        <f>SUM(T4:T19)</f>
        <v>1488500</v>
      </c>
      <c r="U20" s="112">
        <f>SUM(U4:U19)</f>
        <v>2</v>
      </c>
      <c r="V20" s="112">
        <f>SUM(V4:V19)</f>
        <v>2</v>
      </c>
      <c r="W20" s="22"/>
      <c r="X20" s="23"/>
      <c r="Y20" s="5">
        <f>IF(ISBLANK(B20),1,--OR(L20&gt;1,M20&gt;1,N20&gt;1))</f>
        <v>1</v>
      </c>
      <c r="Z20" s="1">
        <v>0</v>
      </c>
      <c r="AG20" s="1">
        <f>P20-Q20</f>
        <v>273073.8600000001</v>
      </c>
    </row>
    <row r="21" spans="1:35" ht="24.95" customHeight="1">
      <c r="A21" s="85">
        <v>16</v>
      </c>
      <c r="B21" s="100">
        <v>1612000310</v>
      </c>
      <c r="C21" s="101" t="str">
        <f>MID(B21,8,3)</f>
        <v>310</v>
      </c>
      <c r="D21" s="101" t="str">
        <f>MID(B21,2,6)</f>
        <v>612000</v>
      </c>
      <c r="E21" s="102" t="s">
        <v>369</v>
      </c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>
        <f>VLOOKUP(B:B,'[3]תשלומים 2017'!B:R,15,0)</f>
        <v>688000</v>
      </c>
      <c r="Q21" s="103">
        <f>VLOOKUP(B:B,'[3]דוח כספי 10.17 מעודכן'!A:D,4,0)</f>
        <v>689831.22</v>
      </c>
      <c r="R21" s="103">
        <f>VLOOKUP(B:B,'[3]תשלומים 2017'!B:T,17,0)</f>
        <v>920000</v>
      </c>
      <c r="S21" s="113">
        <f>Q21/9*12</f>
        <v>919774.96</v>
      </c>
      <c r="T21" s="103">
        <v>0</v>
      </c>
      <c r="U21" s="104"/>
      <c r="V21" s="104">
        <v>0</v>
      </c>
      <c r="W21" s="97"/>
      <c r="X21" s="91"/>
      <c r="Y21" s="85"/>
      <c r="Z21" s="98"/>
      <c r="AA21" s="85"/>
      <c r="AB21" s="85"/>
      <c r="AC21" s="85"/>
      <c r="AD21" s="85"/>
      <c r="AE21" s="85"/>
      <c r="AF21" s="85"/>
      <c r="AG21"/>
      <c r="AH21">
        <v>0</v>
      </c>
    </row>
    <row r="22" spans="1:35" ht="24.95" customHeight="1">
      <c r="A22" s="85">
        <v>15</v>
      </c>
      <c r="B22" s="92">
        <v>1612000521</v>
      </c>
      <c r="C22" s="109" t="str">
        <f>MID(B22,8,3)</f>
        <v>521</v>
      </c>
      <c r="D22" s="109" t="str">
        <f>MID(B22,2,6)</f>
        <v>612000</v>
      </c>
      <c r="E22" s="93" t="s">
        <v>370</v>
      </c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>
        <f>VLOOKUP(B:B,'[3]תשלומים 2017'!B:R,15,0)</f>
        <v>9000</v>
      </c>
      <c r="Q22" s="95">
        <f>VLOOKUP(B:B,'[3]דוח כספי 10.17 מעודכן'!A:D,4,0)</f>
        <v>0</v>
      </c>
      <c r="R22" s="95">
        <f>VLOOKUP(B:B,'[3]תשלומים 2017'!B:T,17,0)</f>
        <v>0</v>
      </c>
      <c r="S22" s="95">
        <f>Q22/9*12</f>
        <v>0</v>
      </c>
      <c r="T22" s="95">
        <v>0</v>
      </c>
      <c r="U22" s="110"/>
      <c r="V22" s="110"/>
      <c r="W22" s="97"/>
      <c r="X22" s="91"/>
      <c r="Y22" s="85"/>
      <c r="Z22" s="98"/>
      <c r="AA22" s="85"/>
      <c r="AB22" s="85"/>
      <c r="AC22" s="85"/>
      <c r="AD22" s="85"/>
      <c r="AE22" s="85"/>
      <c r="AF22" s="85"/>
      <c r="AG22" s="83">
        <f>P22-Q22</f>
        <v>9000</v>
      </c>
      <c r="AH22">
        <v>399000</v>
      </c>
    </row>
    <row r="23" spans="1:35" ht="24.95" customHeight="1">
      <c r="A23" s="85">
        <v>16</v>
      </c>
      <c r="B23" s="92">
        <v>1612100110</v>
      </c>
      <c r="C23" s="93" t="str">
        <f>MID(B23,8,3)</f>
        <v>110</v>
      </c>
      <c r="D23" s="93" t="str">
        <f>MID(B23,2,6)</f>
        <v>612100</v>
      </c>
      <c r="E23" s="93" t="s">
        <v>371</v>
      </c>
      <c r="F23" s="94"/>
      <c r="G23" s="94"/>
      <c r="H23" s="94"/>
      <c r="I23" s="94"/>
      <c r="J23" s="95"/>
      <c r="K23" s="95"/>
      <c r="L23" s="95"/>
      <c r="M23" s="95"/>
      <c r="N23" s="95"/>
      <c r="O23" s="95"/>
      <c r="P23" s="95">
        <f>VLOOKUP(B:B,'[3]תשלומים 2017'!B:R,15,0)</f>
        <v>247000</v>
      </c>
      <c r="Q23" s="95">
        <f>VLOOKUP(B:B,'[3]דוח כספי 10.17 מעודכן'!A:D,4,0)</f>
        <v>163358.16</v>
      </c>
      <c r="R23" s="95">
        <f>VLOOKUP(B:B,'[3]תשלומים 2017'!B:T,17,0)</f>
        <v>218000</v>
      </c>
      <c r="S23" s="95">
        <f>Q23/9*12</f>
        <v>217810.88</v>
      </c>
      <c r="T23" s="95">
        <v>218000</v>
      </c>
      <c r="U23" s="111">
        <v>0.5</v>
      </c>
      <c r="V23" s="111">
        <v>0.5</v>
      </c>
      <c r="W23" s="97"/>
      <c r="X23" s="91"/>
      <c r="Y23" s="85"/>
      <c r="Z23" s="98"/>
      <c r="AA23" s="85"/>
      <c r="AB23" s="85"/>
      <c r="AC23" s="85"/>
      <c r="AD23" s="85"/>
      <c r="AE23" s="85"/>
      <c r="AF23" s="85"/>
      <c r="AG23"/>
    </row>
    <row r="24" spans="1:35" ht="24.95" customHeight="1">
      <c r="A24" s="85">
        <v>16</v>
      </c>
      <c r="B24" s="92">
        <v>1612200110</v>
      </c>
      <c r="C24" s="93" t="str">
        <f>MID(B24,8,3)</f>
        <v>110</v>
      </c>
      <c r="D24" s="93" t="str">
        <f>MID(B24,2,6)</f>
        <v>612200</v>
      </c>
      <c r="E24" s="93" t="s">
        <v>372</v>
      </c>
      <c r="F24" s="94"/>
      <c r="G24" s="94"/>
      <c r="H24" s="94"/>
      <c r="I24" s="94"/>
      <c r="J24" s="95"/>
      <c r="K24" s="95"/>
      <c r="L24" s="95"/>
      <c r="M24" s="95"/>
      <c r="N24" s="95"/>
      <c r="O24" s="95"/>
      <c r="P24" s="95">
        <f>VLOOKUP(B:B,'[3]תשלומים 2017'!B:R,15,0)</f>
        <v>0</v>
      </c>
      <c r="Q24" s="95">
        <f>VLOOKUP(B:B,'[3]דוח כספי 10.17 מעודכן'!A:D,4,0)</f>
        <v>0</v>
      </c>
      <c r="R24" s="95">
        <f>VLOOKUP(B:B,'[3]תשלומים 2017'!B:T,17,0)</f>
        <v>0</v>
      </c>
      <c r="S24" s="95">
        <f>Q24/9*12</f>
        <v>0</v>
      </c>
      <c r="T24" s="95">
        <v>0</v>
      </c>
      <c r="U24" s="111"/>
      <c r="V24" s="111">
        <v>0</v>
      </c>
      <c r="W24" s="97"/>
      <c r="X24" s="91"/>
      <c r="Y24" s="85"/>
      <c r="Z24" s="98"/>
      <c r="AA24" s="85"/>
      <c r="AB24" s="85"/>
      <c r="AC24" s="85"/>
      <c r="AD24" s="85"/>
      <c r="AE24" s="85"/>
      <c r="AF24" s="85"/>
      <c r="AG24"/>
      <c r="AI24" t="s">
        <v>373</v>
      </c>
    </row>
    <row r="25" spans="1:35" s="1" customFormat="1" ht="24.95" customHeight="1">
      <c r="B25" s="28"/>
      <c r="C25" s="29"/>
      <c r="D25" s="29"/>
      <c r="E25" s="29" t="s">
        <v>374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>
        <f>SUM(P21:P24)</f>
        <v>944000</v>
      </c>
      <c r="Q25" s="30">
        <f t="shared" ref="Q25:T25" si="5">SUM(Q21:Q24)</f>
        <v>853189.38</v>
      </c>
      <c r="R25" s="30">
        <f t="shared" si="5"/>
        <v>1138000</v>
      </c>
      <c r="S25" s="30">
        <f t="shared" si="5"/>
        <v>1137585.8399999999</v>
      </c>
      <c r="T25" s="30">
        <f t="shared" si="5"/>
        <v>218000</v>
      </c>
      <c r="U25" s="112">
        <f>SUM(U23:U24)</f>
        <v>0.5</v>
      </c>
      <c r="V25" s="112">
        <f>SUM(V23:V24)</f>
        <v>0.5</v>
      </c>
      <c r="W25" s="22"/>
      <c r="X25" s="23"/>
      <c r="Y25" s="5"/>
    </row>
    <row r="26" spans="1:35" ht="24.95" customHeight="1">
      <c r="A26" s="85">
        <v>16</v>
      </c>
      <c r="B26" s="92">
        <v>1613000110</v>
      </c>
      <c r="C26" s="93" t="str">
        <f t="shared" ref="C26:C75" si="6">MID(B26,8,3)</f>
        <v>110</v>
      </c>
      <c r="D26" s="93" t="str">
        <f t="shared" ref="D26:D43" si="7">MID(B26,2,6)</f>
        <v>613000</v>
      </c>
      <c r="E26" s="93" t="s">
        <v>375</v>
      </c>
      <c r="F26" s="94"/>
      <c r="G26" s="94"/>
      <c r="H26" s="94"/>
      <c r="I26" s="94"/>
      <c r="J26" s="95"/>
      <c r="K26" s="95"/>
      <c r="L26" s="95"/>
      <c r="M26" s="95"/>
      <c r="N26" s="95"/>
      <c r="O26" s="95"/>
      <c r="P26" s="95">
        <f>VLOOKUP(B:B,'[3]תשלומים 2017'!B:R,15,0)</f>
        <v>399000</v>
      </c>
      <c r="Q26" s="95">
        <f>VLOOKUP(B:B,'[3]דוח כספי 10.17 מעודכן'!A:D,4,0)</f>
        <v>242681.2</v>
      </c>
      <c r="R26" s="95">
        <f>VLOOKUP(B:B,'[3]תשלומים 2017'!B:T,17,0)</f>
        <v>243000</v>
      </c>
      <c r="S26" s="95">
        <f>Q26/9*12</f>
        <v>323574.93333333335</v>
      </c>
      <c r="T26" s="95">
        <v>500000</v>
      </c>
      <c r="U26" s="111">
        <v>0.5</v>
      </c>
      <c r="V26" s="111">
        <v>1</v>
      </c>
      <c r="W26" s="97"/>
      <c r="X26" s="91"/>
      <c r="Y26" s="85"/>
      <c r="Z26" s="98"/>
      <c r="AA26" s="85"/>
      <c r="AB26" s="85"/>
      <c r="AC26" s="85"/>
      <c r="AD26" s="85"/>
      <c r="AE26" s="85"/>
      <c r="AF26" s="85"/>
      <c r="AG26"/>
      <c r="AI26" s="114" t="s">
        <v>365</v>
      </c>
    </row>
    <row r="27" spans="1:35" ht="24.95" customHeight="1">
      <c r="A27" s="85">
        <v>15</v>
      </c>
      <c r="B27" s="92">
        <v>1613000400</v>
      </c>
      <c r="C27" s="109" t="str">
        <f t="shared" si="6"/>
        <v>400</v>
      </c>
      <c r="D27" s="109" t="str">
        <f t="shared" si="7"/>
        <v>613000</v>
      </c>
      <c r="E27" s="93" t="s">
        <v>376</v>
      </c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>
        <f>VLOOKUP(B:B,'[3]תשלומים 2017'!B:R,15,0)</f>
        <v>6000</v>
      </c>
      <c r="Q27" s="95">
        <f>VLOOKUP(B:B,'[3]דוח כספי 10.17 מעודכן'!A:D,4,0)</f>
        <v>12098.63</v>
      </c>
      <c r="R27" s="95">
        <f>VLOOKUP(B:B,'[3]תשלומים 2017'!B:T,17,0)</f>
        <v>15000</v>
      </c>
      <c r="S27" s="95">
        <f t="shared" ref="S27:S43" si="8">Q27/10*12</f>
        <v>14518.355999999998</v>
      </c>
      <c r="T27" s="95">
        <v>10000</v>
      </c>
      <c r="U27" s="110"/>
      <c r="V27" s="110"/>
      <c r="W27" s="97"/>
      <c r="X27" s="91"/>
      <c r="Y27" s="85"/>
      <c r="Z27" s="98"/>
      <c r="AA27" s="85"/>
      <c r="AB27" s="85"/>
      <c r="AC27" s="85"/>
      <c r="AD27" s="85"/>
      <c r="AE27" s="85"/>
      <c r="AF27" s="85"/>
      <c r="AG27" s="83">
        <f t="shared" ref="AG27:AG43" si="9">P27-Q27</f>
        <v>-6098.6299999999992</v>
      </c>
    </row>
    <row r="28" spans="1:35" ht="24.95" customHeight="1">
      <c r="A28" s="85">
        <v>15</v>
      </c>
      <c r="B28" s="100">
        <v>1613000431</v>
      </c>
      <c r="C28" s="101" t="str">
        <f t="shared" si="6"/>
        <v>431</v>
      </c>
      <c r="D28" s="101" t="str">
        <f t="shared" si="7"/>
        <v>613000</v>
      </c>
      <c r="E28" s="102" t="s">
        <v>377</v>
      </c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>
        <f>VLOOKUP(B:B,'[3]תשלומים 2017'!B:R,15,0)</f>
        <v>18000</v>
      </c>
      <c r="Q28" s="103">
        <f>VLOOKUP(B:B,'[3]דוח כספי 10.17 מעודכן'!A:D,4,0)</f>
        <v>8210.44</v>
      </c>
      <c r="R28" s="103">
        <f>VLOOKUP(B:B,'[3]תשלומים 2017'!B:T,17,0)</f>
        <v>10000</v>
      </c>
      <c r="S28" s="103">
        <f t="shared" si="8"/>
        <v>9852.5280000000021</v>
      </c>
      <c r="T28" s="103">
        <v>1000</v>
      </c>
      <c r="U28" s="104"/>
      <c r="V28" s="104"/>
      <c r="W28" s="97"/>
      <c r="X28" s="91"/>
      <c r="Y28" s="85"/>
      <c r="Z28" s="98"/>
      <c r="AA28" s="85"/>
      <c r="AB28" s="85"/>
      <c r="AC28" s="85"/>
      <c r="AD28" s="85"/>
      <c r="AE28" s="85"/>
      <c r="AF28" s="85"/>
      <c r="AG28" s="83">
        <f t="shared" si="9"/>
        <v>9789.56</v>
      </c>
    </row>
    <row r="29" spans="1:35" ht="24.95" customHeight="1">
      <c r="A29" s="85">
        <v>15</v>
      </c>
      <c r="B29" s="100">
        <v>1613000432</v>
      </c>
      <c r="C29" s="101" t="str">
        <f t="shared" si="6"/>
        <v>432</v>
      </c>
      <c r="D29" s="101" t="str">
        <f t="shared" si="7"/>
        <v>613000</v>
      </c>
      <c r="E29" s="102" t="s">
        <v>378</v>
      </c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>
        <f>VLOOKUP(B:B,'[3]תשלומים 2017'!B:R,15,0)</f>
        <v>18000</v>
      </c>
      <c r="Q29" s="103">
        <f>VLOOKUP(B:B,'[3]דוח כספי 10.17 מעודכן'!A:D,4,0)</f>
        <v>72835.899999999994</v>
      </c>
      <c r="R29" s="103">
        <f>VLOOKUP(B:B,'[3]תשלומים 2017'!B:T,17,0)</f>
        <v>18000</v>
      </c>
      <c r="S29" s="103">
        <v>0</v>
      </c>
      <c r="T29" s="103">
        <v>18000</v>
      </c>
      <c r="U29" s="104"/>
      <c r="V29" s="104"/>
      <c r="W29" s="97"/>
      <c r="X29" s="91"/>
      <c r="Y29" s="85"/>
      <c r="Z29" s="98"/>
      <c r="AA29" s="85"/>
      <c r="AB29" s="85"/>
      <c r="AC29" s="85"/>
      <c r="AD29" s="85"/>
      <c r="AE29" s="85"/>
      <c r="AF29" s="85"/>
      <c r="AG29" s="83">
        <f t="shared" si="9"/>
        <v>-54835.899999999994</v>
      </c>
    </row>
    <row r="30" spans="1:35" ht="24.95" customHeight="1">
      <c r="A30" s="85">
        <v>15</v>
      </c>
      <c r="B30" s="92">
        <v>1613000433</v>
      </c>
      <c r="C30" s="109" t="str">
        <f t="shared" si="6"/>
        <v>433</v>
      </c>
      <c r="D30" s="109" t="str">
        <f t="shared" si="7"/>
        <v>613000</v>
      </c>
      <c r="E30" s="93" t="s">
        <v>379</v>
      </c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>
        <f>VLOOKUP(B:B,'[3]תשלומים 2017'!B:R,15,0)</f>
        <v>8000</v>
      </c>
      <c r="Q30" s="95">
        <f>VLOOKUP(B:B,'[3]דוח כספי 10.17 מעודכן'!A:D,4,0)</f>
        <v>11901</v>
      </c>
      <c r="R30" s="95">
        <f>VLOOKUP(B:B,'[3]תשלומים 2017'!B:T,17,0)</f>
        <v>14000</v>
      </c>
      <c r="S30" s="95">
        <f t="shared" si="8"/>
        <v>14281.199999999999</v>
      </c>
      <c r="T30" s="95">
        <v>12000</v>
      </c>
      <c r="U30" s="110"/>
      <c r="V30" s="110"/>
      <c r="W30" s="97"/>
      <c r="X30" s="91"/>
      <c r="Y30" s="85"/>
      <c r="Z30" s="98"/>
      <c r="AA30" s="85"/>
      <c r="AB30" s="85"/>
      <c r="AC30" s="85"/>
      <c r="AD30" s="85"/>
      <c r="AE30" s="85"/>
      <c r="AF30" s="85"/>
      <c r="AG30" s="83">
        <f t="shared" si="9"/>
        <v>-3901</v>
      </c>
    </row>
    <row r="31" spans="1:35" s="108" customFormat="1" ht="24.95" customHeight="1">
      <c r="A31" s="99">
        <v>15</v>
      </c>
      <c r="B31" s="100">
        <v>1613000440</v>
      </c>
      <c r="C31" s="101" t="str">
        <f t="shared" si="6"/>
        <v>440</v>
      </c>
      <c r="D31" s="101" t="str">
        <f t="shared" si="7"/>
        <v>613000</v>
      </c>
      <c r="E31" s="102" t="s">
        <v>354</v>
      </c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>
        <f>VLOOKUP(B:B,'[3]תשלומים 2017'!B:R,15,0)</f>
        <v>193000</v>
      </c>
      <c r="Q31" s="103">
        <f>VLOOKUP(B:B,'[3]דוח כספי 10.17 מעודכן'!A:D,4,0)</f>
        <v>409000</v>
      </c>
      <c r="R31" s="103">
        <v>273000</v>
      </c>
      <c r="S31" s="103">
        <f t="shared" si="8"/>
        <v>490800</v>
      </c>
      <c r="T31" s="103">
        <v>273000</v>
      </c>
      <c r="U31" s="104"/>
      <c r="V31" s="104"/>
      <c r="W31" s="105"/>
      <c r="X31" s="106"/>
      <c r="Y31" s="99"/>
      <c r="Z31" s="107"/>
      <c r="AA31" s="99"/>
      <c r="AB31" s="99"/>
      <c r="AC31" s="99"/>
      <c r="AD31" s="99"/>
      <c r="AE31" s="99"/>
      <c r="AF31" s="99"/>
      <c r="AG31" s="115">
        <f t="shared" si="9"/>
        <v>-216000</v>
      </c>
    </row>
    <row r="32" spans="1:35" ht="24.95" customHeight="1">
      <c r="A32" s="85">
        <v>15</v>
      </c>
      <c r="B32" s="92">
        <v>1613000450</v>
      </c>
      <c r="C32" s="109" t="str">
        <f t="shared" si="6"/>
        <v>450</v>
      </c>
      <c r="D32" s="109" t="str">
        <f t="shared" si="7"/>
        <v>613000</v>
      </c>
      <c r="E32" s="93" t="s">
        <v>380</v>
      </c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>
        <f>VLOOKUP(B:B,'[3]תשלומים 2017'!B:R,15,0)</f>
        <v>0</v>
      </c>
      <c r="Q32" s="95">
        <f>VLOOKUP(B:B,'[3]דוח כספי 10.17 מעודכן'!A:D,4,0)</f>
        <v>15584.4</v>
      </c>
      <c r="R32" s="95">
        <f>VLOOKUP(B:B,'[3]תשלומים 2017'!B:T,17,0)</f>
        <v>19000</v>
      </c>
      <c r="S32" s="95">
        <f t="shared" si="8"/>
        <v>18701.28</v>
      </c>
      <c r="T32" s="95">
        <v>19000</v>
      </c>
      <c r="U32" s="110"/>
      <c r="V32" s="110"/>
      <c r="W32" s="97"/>
      <c r="X32" s="91"/>
      <c r="Y32" s="85"/>
      <c r="Z32" s="98"/>
      <c r="AA32" s="85"/>
      <c r="AB32" s="85"/>
      <c r="AC32" s="85"/>
      <c r="AD32" s="85"/>
      <c r="AE32" s="85"/>
      <c r="AF32" s="85"/>
      <c r="AG32" s="83">
        <f t="shared" si="9"/>
        <v>-15584.4</v>
      </c>
    </row>
    <row r="33" spans="1:35" ht="24.95" customHeight="1">
      <c r="A33" s="85">
        <v>15</v>
      </c>
      <c r="B33" s="92">
        <v>1613000460</v>
      </c>
      <c r="C33" s="109" t="str">
        <f t="shared" si="6"/>
        <v>460</v>
      </c>
      <c r="D33" s="109" t="str">
        <f t="shared" si="7"/>
        <v>613000</v>
      </c>
      <c r="E33" s="93" t="s">
        <v>381</v>
      </c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>
        <f>VLOOKUP(B:B,'[3]תשלומים 2017'!B:R,15,0)</f>
        <v>17000</v>
      </c>
      <c r="Q33" s="95">
        <f>VLOOKUP(B:B,'[3]דוח כספי 10.17 מעודכן'!A:D,4,0)</f>
        <v>19468.8</v>
      </c>
      <c r="R33" s="95">
        <f>VLOOKUP(B:B,'[3]תשלומים 2017'!B:T,17,0)</f>
        <v>23000</v>
      </c>
      <c r="S33" s="95">
        <f t="shared" si="8"/>
        <v>23362.559999999998</v>
      </c>
      <c r="T33" s="95">
        <v>23000</v>
      </c>
      <c r="U33" s="110"/>
      <c r="V33" s="110"/>
      <c r="W33" s="97"/>
      <c r="X33" s="91"/>
      <c r="Y33" s="85"/>
      <c r="Z33" s="98"/>
      <c r="AA33" s="85"/>
      <c r="AB33" s="85"/>
      <c r="AC33" s="85"/>
      <c r="AD33" s="85"/>
      <c r="AE33" s="85"/>
      <c r="AF33" s="85"/>
      <c r="AG33" s="83">
        <f t="shared" si="9"/>
        <v>-2468.7999999999993</v>
      </c>
    </row>
    <row r="34" spans="1:35" ht="24.95" customHeight="1">
      <c r="A34" s="85">
        <v>15</v>
      </c>
      <c r="B34" s="92">
        <v>1613000470</v>
      </c>
      <c r="C34" s="109" t="str">
        <f t="shared" si="6"/>
        <v>470</v>
      </c>
      <c r="D34" s="109" t="str">
        <f t="shared" si="7"/>
        <v>613000</v>
      </c>
      <c r="E34" s="93" t="s">
        <v>382</v>
      </c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>
        <f>VLOOKUP(B:B,'[3]תשלומים 2017'!B:R,15,0)</f>
        <v>12000</v>
      </c>
      <c r="Q34" s="95">
        <f>VLOOKUP(B:B,'[3]דוח כספי 10.17 מעודכן'!A:D,4,0)</f>
        <v>9765.39</v>
      </c>
      <c r="R34" s="95">
        <f>VLOOKUP(B:B,'[3]תשלומים 2017'!B:T,17,0)</f>
        <v>12000</v>
      </c>
      <c r="S34" s="95">
        <f t="shared" si="8"/>
        <v>11718.468000000001</v>
      </c>
      <c r="T34" s="95">
        <v>12000</v>
      </c>
      <c r="U34" s="110"/>
      <c r="V34" s="110"/>
      <c r="W34" s="97"/>
      <c r="X34" s="91"/>
      <c r="Y34" s="85"/>
      <c r="Z34" s="98"/>
      <c r="AA34" s="85"/>
      <c r="AB34" s="85"/>
      <c r="AC34" s="85"/>
      <c r="AD34" s="85"/>
      <c r="AE34" s="85"/>
      <c r="AF34" s="85"/>
      <c r="AG34" s="83">
        <f t="shared" si="9"/>
        <v>2234.6100000000006</v>
      </c>
    </row>
    <row r="35" spans="1:35" ht="24.95" customHeight="1">
      <c r="A35" s="85">
        <v>15</v>
      </c>
      <c r="B35" s="92">
        <v>1613000510</v>
      </c>
      <c r="C35" s="109" t="str">
        <f t="shared" si="6"/>
        <v>510</v>
      </c>
      <c r="D35" s="109" t="str">
        <f t="shared" si="7"/>
        <v>613000</v>
      </c>
      <c r="E35" s="93" t="s">
        <v>383</v>
      </c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>
        <f>VLOOKUP(B:B,'[3]תשלומים 2017'!B:R,15,0)</f>
        <v>21000</v>
      </c>
      <c r="Q35" s="95">
        <f>VLOOKUP(B:B,'[3]דוח כספי 10.17 מעודכן'!A:D,4,0)</f>
        <v>25766</v>
      </c>
      <c r="R35" s="95">
        <f>VLOOKUP(B:B,'[3]תשלומים 2017'!B:T,17,0)</f>
        <v>30000</v>
      </c>
      <c r="S35" s="95">
        <f t="shared" si="8"/>
        <v>30919.199999999997</v>
      </c>
      <c r="T35" s="95">
        <v>31000</v>
      </c>
      <c r="U35" s="110"/>
      <c r="V35" s="110"/>
      <c r="W35" s="97"/>
      <c r="X35" s="91"/>
      <c r="Y35" s="85"/>
      <c r="Z35" s="98"/>
      <c r="AA35" s="85"/>
      <c r="AB35" s="85"/>
      <c r="AC35" s="85"/>
      <c r="AD35" s="85"/>
      <c r="AE35" s="85"/>
      <c r="AF35" s="85"/>
      <c r="AG35" s="83">
        <f t="shared" si="9"/>
        <v>-4766</v>
      </c>
    </row>
    <row r="36" spans="1:35" s="108" customFormat="1" ht="24.95" customHeight="1">
      <c r="A36" s="99">
        <v>15</v>
      </c>
      <c r="B36" s="100">
        <v>1613000521</v>
      </c>
      <c r="C36" s="101" t="str">
        <f t="shared" si="6"/>
        <v>521</v>
      </c>
      <c r="D36" s="101" t="str">
        <f t="shared" si="7"/>
        <v>613000</v>
      </c>
      <c r="E36" s="102" t="s">
        <v>357</v>
      </c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>
        <f>VLOOKUP(B:B,'[3]תשלומים 2017'!B:R,15,0)</f>
        <v>80000</v>
      </c>
      <c r="Q36" s="103">
        <f>VLOOKUP(B:B,'[3]דוח כספי 10.17 מעודכן'!A:D,4,0)</f>
        <v>85530</v>
      </c>
      <c r="R36" s="103">
        <v>0</v>
      </c>
      <c r="S36" s="103">
        <f t="shared" si="8"/>
        <v>102636</v>
      </c>
      <c r="T36" s="103">
        <v>0</v>
      </c>
      <c r="U36" s="104"/>
      <c r="V36" s="104"/>
      <c r="W36" s="105"/>
      <c r="X36" s="106"/>
      <c r="Y36" s="99"/>
      <c r="Z36" s="107"/>
      <c r="AA36" s="99"/>
      <c r="AB36" s="99"/>
      <c r="AC36" s="99"/>
      <c r="AD36" s="99"/>
      <c r="AE36" s="99"/>
      <c r="AF36" s="99"/>
      <c r="AG36" s="115">
        <f t="shared" si="9"/>
        <v>-5530</v>
      </c>
    </row>
    <row r="37" spans="1:35" ht="24.95" customHeight="1">
      <c r="A37" s="85">
        <v>15</v>
      </c>
      <c r="B37" s="92">
        <v>1613000522</v>
      </c>
      <c r="C37" s="109" t="str">
        <f t="shared" si="6"/>
        <v>522</v>
      </c>
      <c r="D37" s="109" t="str">
        <f t="shared" si="7"/>
        <v>613000</v>
      </c>
      <c r="E37" s="93" t="s">
        <v>384</v>
      </c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>
        <f>VLOOKUP(B:B,'[3]תשלומים 2017'!B:R,15,0)</f>
        <v>0</v>
      </c>
      <c r="Q37" s="95">
        <f>VLOOKUP(B:B,'[3]דוח כספי 10.17 מעודכן'!A:D,4,0)</f>
        <v>1733</v>
      </c>
      <c r="R37" s="95">
        <f>VLOOKUP(B:B,'[3]תשלומים 2017'!B:T,17,0)</f>
        <v>2000</v>
      </c>
      <c r="S37" s="95">
        <f t="shared" si="8"/>
        <v>2079.6000000000004</v>
      </c>
      <c r="T37" s="95">
        <v>2000</v>
      </c>
      <c r="U37" s="110"/>
      <c r="V37" s="110"/>
      <c r="W37" s="97"/>
      <c r="X37" s="91"/>
      <c r="Y37" s="85"/>
      <c r="Z37" s="98"/>
      <c r="AA37" s="85"/>
      <c r="AB37" s="85"/>
      <c r="AC37" s="85"/>
      <c r="AD37" s="85"/>
      <c r="AE37" s="85"/>
      <c r="AF37" s="85"/>
      <c r="AG37" s="83">
        <f t="shared" si="9"/>
        <v>-1733</v>
      </c>
    </row>
    <row r="38" spans="1:35" ht="24.95" customHeight="1">
      <c r="A38" s="85">
        <v>15</v>
      </c>
      <c r="B38" s="92">
        <v>1613000540</v>
      </c>
      <c r="C38" s="109" t="str">
        <f t="shared" si="6"/>
        <v>540</v>
      </c>
      <c r="D38" s="109" t="str">
        <f t="shared" si="7"/>
        <v>613000</v>
      </c>
      <c r="E38" s="93" t="s">
        <v>385</v>
      </c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>
        <f>VLOOKUP(B:B,'[3]תשלומים 2017'!B:R,15,0)</f>
        <v>72000</v>
      </c>
      <c r="Q38" s="95">
        <f>VLOOKUP(B:B,'[3]דוח כספי 10.17 מעודכן'!A:D,4,0)</f>
        <v>19165.189999999999</v>
      </c>
      <c r="R38" s="95">
        <f>VLOOKUP(B:B,'[3]תשלומים 2017'!B:T,17,0)</f>
        <v>23000</v>
      </c>
      <c r="S38" s="95">
        <f t="shared" si="8"/>
        <v>22998.227999999996</v>
      </c>
      <c r="T38" s="95">
        <v>23000</v>
      </c>
      <c r="U38" s="110"/>
      <c r="V38" s="110"/>
      <c r="W38" s="97"/>
      <c r="X38" s="91"/>
      <c r="Y38" s="85"/>
      <c r="Z38" s="98"/>
      <c r="AA38" s="85"/>
      <c r="AB38" s="85"/>
      <c r="AC38" s="85"/>
      <c r="AD38" s="85"/>
      <c r="AE38" s="85"/>
      <c r="AF38" s="85"/>
      <c r="AG38" s="83">
        <f t="shared" si="9"/>
        <v>52834.81</v>
      </c>
    </row>
    <row r="39" spans="1:35" ht="24.95" customHeight="1">
      <c r="A39" s="85">
        <v>15</v>
      </c>
      <c r="B39" s="92">
        <v>1613000550</v>
      </c>
      <c r="C39" s="109" t="str">
        <f t="shared" si="6"/>
        <v>550</v>
      </c>
      <c r="D39" s="109" t="str">
        <f t="shared" si="7"/>
        <v>613000</v>
      </c>
      <c r="E39" s="93" t="s">
        <v>386</v>
      </c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>
        <f>VLOOKUP(B:B,'[3]תשלומים 2017'!B:R,15,0)</f>
        <v>19000</v>
      </c>
      <c r="Q39" s="95">
        <f>VLOOKUP(B:B,'[3]דוח כספי 10.17 מעודכן'!A:D,4,0)</f>
        <v>83080.5</v>
      </c>
      <c r="R39" s="95">
        <f>VLOOKUP(B:B,'[3]תשלומים 2017'!B:T,17,0)</f>
        <v>100000</v>
      </c>
      <c r="S39" s="95">
        <f t="shared" si="8"/>
        <v>99696.599999999991</v>
      </c>
      <c r="T39" s="95">
        <v>50000</v>
      </c>
      <c r="U39" s="110"/>
      <c r="V39" s="110"/>
      <c r="W39" s="97"/>
      <c r="X39" s="91"/>
      <c r="Y39" s="85"/>
      <c r="Z39" s="98"/>
      <c r="AA39" s="85"/>
      <c r="AB39" s="85"/>
      <c r="AC39" s="85"/>
      <c r="AD39" s="85"/>
      <c r="AE39" s="85"/>
      <c r="AF39" s="85"/>
      <c r="AG39" s="83">
        <f t="shared" si="9"/>
        <v>-64080.5</v>
      </c>
    </row>
    <row r="40" spans="1:35" ht="24.95" customHeight="1">
      <c r="A40" s="85">
        <v>15</v>
      </c>
      <c r="B40" s="92">
        <v>1613000560</v>
      </c>
      <c r="C40" s="109" t="str">
        <f t="shared" si="6"/>
        <v>560</v>
      </c>
      <c r="D40" s="109" t="str">
        <f t="shared" si="7"/>
        <v>613000</v>
      </c>
      <c r="E40" s="93" t="s">
        <v>387</v>
      </c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>
        <f>VLOOKUP(B:B,'[3]תשלומים 2017'!B:R,15,0)</f>
        <v>35000</v>
      </c>
      <c r="Q40" s="95">
        <f>VLOOKUP(B:B,'[3]דוח כספי 10.17 מעודכן'!A:D,4,0)</f>
        <v>20378</v>
      </c>
      <c r="R40" s="95">
        <f>VLOOKUP(B:B,'[3]תשלומים 2017'!B:T,17,0)</f>
        <v>25000</v>
      </c>
      <c r="S40" s="95">
        <f t="shared" si="8"/>
        <v>24453.599999999999</v>
      </c>
      <c r="T40" s="95">
        <v>24000</v>
      </c>
      <c r="U40" s="110"/>
      <c r="V40" s="110"/>
      <c r="W40" s="97"/>
      <c r="X40" s="91"/>
      <c r="Y40" s="85"/>
      <c r="Z40" s="98"/>
      <c r="AA40" s="85"/>
      <c r="AB40" s="85"/>
      <c r="AC40" s="85"/>
      <c r="AD40" s="85"/>
      <c r="AE40" s="85"/>
      <c r="AF40" s="85"/>
      <c r="AG40" s="83">
        <f t="shared" si="9"/>
        <v>14622</v>
      </c>
    </row>
    <row r="41" spans="1:35" ht="24.95" customHeight="1">
      <c r="A41" s="85">
        <v>15</v>
      </c>
      <c r="B41" s="92">
        <v>1613000570</v>
      </c>
      <c r="C41" s="109" t="str">
        <f t="shared" si="6"/>
        <v>570</v>
      </c>
      <c r="D41" s="109" t="str">
        <f t="shared" si="7"/>
        <v>613000</v>
      </c>
      <c r="E41" s="93" t="s">
        <v>388</v>
      </c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>
        <f>VLOOKUP(B:B,'[3]תשלומים 2017'!B:R,15,0)</f>
        <v>0</v>
      </c>
      <c r="Q41" s="95">
        <f>VLOOKUP(B:B,'[3]דוח כספי 10.17 מעודכן'!A:D,4,0)</f>
        <v>0</v>
      </c>
      <c r="R41" s="95">
        <f>VLOOKUP(B:B,'[3]תשלומים 2017'!B:T,17,0)</f>
        <v>0</v>
      </c>
      <c r="S41" s="95">
        <f t="shared" si="8"/>
        <v>0</v>
      </c>
      <c r="T41" s="95">
        <v>0</v>
      </c>
      <c r="U41" s="110"/>
      <c r="V41" s="110"/>
      <c r="W41" s="97"/>
      <c r="X41" s="91"/>
      <c r="Y41" s="85"/>
      <c r="Z41" s="98"/>
      <c r="AA41" s="85"/>
      <c r="AB41" s="85"/>
      <c r="AC41" s="85"/>
      <c r="AD41" s="85"/>
      <c r="AE41" s="85"/>
      <c r="AF41" s="85"/>
      <c r="AG41" s="83">
        <f t="shared" si="9"/>
        <v>0</v>
      </c>
      <c r="AH41">
        <v>12000</v>
      </c>
    </row>
    <row r="42" spans="1:35" ht="24.95" customHeight="1">
      <c r="A42" s="85">
        <v>15</v>
      </c>
      <c r="B42" s="92">
        <v>1613000780</v>
      </c>
      <c r="C42" s="109">
        <v>780</v>
      </c>
      <c r="D42" s="109">
        <v>613000</v>
      </c>
      <c r="E42" s="93" t="s">
        <v>389</v>
      </c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>
        <f>VLOOKUP(B:B,'[3]תשלומים 2017'!B:R,15,0)</f>
        <v>70000</v>
      </c>
      <c r="Q42" s="95">
        <v>0</v>
      </c>
      <c r="R42" s="95">
        <v>150000</v>
      </c>
      <c r="S42" s="95">
        <v>0</v>
      </c>
      <c r="T42" s="95">
        <v>150000</v>
      </c>
      <c r="U42" s="110"/>
      <c r="V42" s="110"/>
      <c r="W42" s="97"/>
      <c r="X42" s="91"/>
      <c r="Y42" s="85"/>
      <c r="Z42" s="98"/>
      <c r="AA42" s="85"/>
      <c r="AB42" s="85"/>
      <c r="AC42" s="85"/>
      <c r="AD42" s="85"/>
      <c r="AE42" s="85"/>
      <c r="AF42" s="85"/>
    </row>
    <row r="43" spans="1:35" ht="24.95" customHeight="1">
      <c r="A43" s="85">
        <v>15</v>
      </c>
      <c r="B43" s="92">
        <v>1613000930</v>
      </c>
      <c r="C43" s="109" t="str">
        <f t="shared" si="6"/>
        <v>930</v>
      </c>
      <c r="D43" s="109" t="str">
        <f t="shared" si="7"/>
        <v>613000</v>
      </c>
      <c r="E43" s="93" t="s">
        <v>390</v>
      </c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>
        <f>VLOOKUP(B:B,'[3]תשלומים 2017'!B:R,15,0)</f>
        <v>20000</v>
      </c>
      <c r="Q43" s="95">
        <f>VLOOKUP(B:B,'[3]דוח כספי 10.17 מעודכן'!A:D,4,0)</f>
        <v>638</v>
      </c>
      <c r="R43" s="95">
        <f>VLOOKUP(B:B,'[3]תשלומים 2017'!B:T,17,0)</f>
        <v>5000</v>
      </c>
      <c r="S43" s="95">
        <f t="shared" si="8"/>
        <v>765.59999999999991</v>
      </c>
      <c r="T43" s="95">
        <v>1000</v>
      </c>
      <c r="U43" s="110"/>
      <c r="V43" s="110"/>
      <c r="W43" s="97"/>
      <c r="X43" s="91"/>
      <c r="Y43" s="85"/>
      <c r="Z43" s="98"/>
      <c r="AA43" s="85"/>
      <c r="AB43" s="85"/>
      <c r="AC43" s="85"/>
      <c r="AD43" s="85"/>
      <c r="AE43" s="85"/>
      <c r="AF43" s="85"/>
      <c r="AG43" s="83">
        <f t="shared" si="9"/>
        <v>19362</v>
      </c>
    </row>
    <row r="44" spans="1:35" ht="24.95" customHeight="1">
      <c r="A44" s="85">
        <v>16</v>
      </c>
      <c r="B44" s="92">
        <v>1613100110</v>
      </c>
      <c r="C44" s="93" t="str">
        <f t="shared" si="6"/>
        <v>110</v>
      </c>
      <c r="D44" s="93" t="str">
        <f>MID(B44,2,6)</f>
        <v>613100</v>
      </c>
      <c r="E44" s="93" t="s">
        <v>391</v>
      </c>
      <c r="F44" s="94"/>
      <c r="G44" s="94"/>
      <c r="H44" s="94"/>
      <c r="I44" s="94"/>
      <c r="J44" s="95"/>
      <c r="K44" s="95"/>
      <c r="L44" s="95"/>
      <c r="M44" s="95"/>
      <c r="N44" s="95"/>
      <c r="O44" s="95"/>
      <c r="P44" s="95">
        <f>VLOOKUP(B:B,'[3]תשלומים 2017'!B:R,15,0)</f>
        <v>369000</v>
      </c>
      <c r="Q44" s="95">
        <f>VLOOKUP(B:B,'[3]דוח כספי 10.17 מעודכן'!A:D,4,0)</f>
        <v>195581.44</v>
      </c>
      <c r="R44" s="95">
        <f>VLOOKUP(B:B,'[3]תשלומים 2017'!B:T,17,0)</f>
        <v>250000</v>
      </c>
      <c r="S44" s="95">
        <f>Q44/9*12</f>
        <v>260775.25333333336</v>
      </c>
      <c r="T44" s="95">
        <v>213000</v>
      </c>
      <c r="U44" s="111">
        <v>2.7</v>
      </c>
      <c r="V44" s="111">
        <v>2.7</v>
      </c>
      <c r="W44" s="97"/>
      <c r="X44" s="91"/>
      <c r="Y44" s="85"/>
      <c r="Z44" s="98"/>
      <c r="AA44" s="85"/>
      <c r="AB44" s="85"/>
      <c r="AC44" s="85"/>
      <c r="AD44" s="85"/>
      <c r="AE44" s="85"/>
      <c r="AF44" s="85"/>
      <c r="AG44"/>
      <c r="AI44" t="s">
        <v>392</v>
      </c>
    </row>
    <row r="45" spans="1:35" s="1" customFormat="1" ht="24.95" customHeight="1">
      <c r="B45" s="28"/>
      <c r="C45" s="29"/>
      <c r="D45" s="29"/>
      <c r="E45" s="29" t="s">
        <v>393</v>
      </c>
      <c r="F45" s="30" t="e">
        <f>SUM(#REF!)</f>
        <v>#REF!</v>
      </c>
      <c r="G45" s="30" t="e">
        <f>SUM(#REF!)</f>
        <v>#REF!</v>
      </c>
      <c r="H45" s="30" t="e">
        <f>SUM(#REF!)</f>
        <v>#REF!</v>
      </c>
      <c r="I45" s="30" t="e">
        <f>SUM(#REF!)</f>
        <v>#REF!</v>
      </c>
      <c r="J45" s="30" t="e">
        <f>SUM(#REF!)</f>
        <v>#REF!</v>
      </c>
      <c r="K45" s="30" t="e">
        <f>SUM(#REF!)</f>
        <v>#REF!</v>
      </c>
      <c r="L45" s="30">
        <f>SUM(L26:L43)</f>
        <v>0</v>
      </c>
      <c r="M45" s="30">
        <f>SUM(M26:M43)</f>
        <v>0</v>
      </c>
      <c r="N45" s="30">
        <f>SUM(N26:N43)</f>
        <v>0</v>
      </c>
      <c r="O45" s="30">
        <f>SUM(O26:O43)</f>
        <v>0</v>
      </c>
      <c r="P45" s="30">
        <f t="shared" ref="P45:V45" si="10">SUM(P26:P44)</f>
        <v>1357000</v>
      </c>
      <c r="Q45" s="30">
        <f t="shared" si="10"/>
        <v>1233417.8900000001</v>
      </c>
      <c r="R45" s="30">
        <f t="shared" si="10"/>
        <v>1212000</v>
      </c>
      <c r="S45" s="30">
        <f t="shared" si="10"/>
        <v>1451133.406666667</v>
      </c>
      <c r="T45" s="30">
        <f t="shared" si="10"/>
        <v>1362000</v>
      </c>
      <c r="U45" s="112">
        <f t="shared" si="10"/>
        <v>3.2</v>
      </c>
      <c r="V45" s="112">
        <f t="shared" si="10"/>
        <v>3.7</v>
      </c>
      <c r="W45" s="22"/>
      <c r="X45" s="23"/>
      <c r="Y45" s="5">
        <f>IF(ISBLANK(B45),1,--OR(L45&gt;1,M45&gt;1,N45&gt;1))</f>
        <v>1</v>
      </c>
      <c r="Z45" s="1">
        <v>0</v>
      </c>
      <c r="AG45" s="1">
        <f t="shared" ref="AG45:AG51" si="11">P45-Q45</f>
        <v>123582.10999999987</v>
      </c>
    </row>
    <row r="46" spans="1:35" ht="24.95" customHeight="1">
      <c r="A46" s="85">
        <v>15</v>
      </c>
      <c r="B46" s="92">
        <v>1617000620</v>
      </c>
      <c r="C46" s="109" t="str">
        <f t="shared" si="6"/>
        <v>620</v>
      </c>
      <c r="D46" s="109" t="str">
        <f>MID(B46,2,6)</f>
        <v>617000</v>
      </c>
      <c r="E46" s="93" t="s">
        <v>394</v>
      </c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>
        <f>VLOOKUP(B:B,'[3]תשלומים 2017'!B:R,15,0)</f>
        <v>100000</v>
      </c>
      <c r="Q46" s="95">
        <f>VLOOKUP(B:B,'[3]דוח כספי 10.17 מעודכן'!A:D,4,0)</f>
        <v>105345.86</v>
      </c>
      <c r="R46" s="95">
        <f>VLOOKUP(B:B,'[3]תשלומים 2017'!B:T,17,0)</f>
        <v>125000</v>
      </c>
      <c r="S46" s="95">
        <f>Q46/10*12</f>
        <v>126415.03199999999</v>
      </c>
      <c r="T46" s="95">
        <v>127000</v>
      </c>
      <c r="U46" s="110"/>
      <c r="V46" s="110"/>
      <c r="W46" s="97"/>
      <c r="X46" s="91"/>
      <c r="Y46" s="85"/>
      <c r="Z46" s="98"/>
      <c r="AA46" s="85"/>
      <c r="AB46" s="85"/>
      <c r="AC46" s="85"/>
      <c r="AD46" s="85"/>
      <c r="AE46" s="85"/>
      <c r="AF46" s="85"/>
      <c r="AG46" s="83">
        <f t="shared" si="11"/>
        <v>-5345.8600000000006</v>
      </c>
      <c r="AH46">
        <v>70000</v>
      </c>
    </row>
    <row r="47" spans="1:35" ht="24.95" customHeight="1">
      <c r="A47" s="85">
        <v>15</v>
      </c>
      <c r="B47" s="92">
        <v>1617000750</v>
      </c>
      <c r="C47" s="109" t="str">
        <f t="shared" si="6"/>
        <v>750</v>
      </c>
      <c r="D47" s="109" t="str">
        <f>MID(B47,2,6)</f>
        <v>617000</v>
      </c>
      <c r="E47" s="93" t="s">
        <v>395</v>
      </c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>
        <f>VLOOKUP(B:B,'[3]תשלומים 2017'!B:R,15,0)</f>
        <v>224000</v>
      </c>
      <c r="Q47" s="95">
        <f>VLOOKUP(B:B,'[3]דוח כספי 10.17 מעודכן'!A:D,4,0)</f>
        <v>223410</v>
      </c>
      <c r="R47" s="95">
        <f>VLOOKUP(B:B,'[3]תשלומים 2017'!B:T,17,0)</f>
        <v>265000</v>
      </c>
      <c r="S47" s="95">
        <f>Q47/10*12</f>
        <v>268092</v>
      </c>
      <c r="T47" s="95">
        <v>268000</v>
      </c>
      <c r="U47" s="110"/>
      <c r="V47" s="110"/>
      <c r="W47" s="97"/>
      <c r="X47" s="91"/>
      <c r="Y47" s="85"/>
      <c r="Z47" s="98"/>
      <c r="AA47" s="85"/>
      <c r="AB47" s="85"/>
      <c r="AC47" s="85"/>
      <c r="AD47" s="85"/>
      <c r="AE47" s="85"/>
      <c r="AF47" s="85"/>
      <c r="AG47" s="83">
        <f t="shared" si="11"/>
        <v>590</v>
      </c>
    </row>
    <row r="48" spans="1:35" ht="24.95" customHeight="1">
      <c r="A48" s="85">
        <v>15</v>
      </c>
      <c r="B48" s="92">
        <v>1617000980</v>
      </c>
      <c r="C48" s="109" t="str">
        <f t="shared" si="6"/>
        <v>980</v>
      </c>
      <c r="D48" s="109" t="str">
        <f>MID(B48,2,6)</f>
        <v>617000</v>
      </c>
      <c r="E48" s="93" t="s">
        <v>396</v>
      </c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>
        <f>VLOOKUP(B:B,'[3]תשלומים 2017'!B:R,15,0)</f>
        <v>3000</v>
      </c>
      <c r="Q48" s="95">
        <f>VLOOKUP(B:B,'[3]דוח כספי 10.17 מעודכן'!A:D,4,0)</f>
        <v>0</v>
      </c>
      <c r="R48" s="95">
        <f>VLOOKUP(B:B,'[3]תשלומים 2017'!B:T,17,0)</f>
        <v>36000</v>
      </c>
      <c r="S48" s="95">
        <f>Q48/10*12</f>
        <v>0</v>
      </c>
      <c r="T48" s="95">
        <v>36000</v>
      </c>
      <c r="U48" s="110"/>
      <c r="V48" s="110"/>
      <c r="W48" s="97"/>
      <c r="X48" s="91"/>
      <c r="Y48" s="85"/>
      <c r="Z48" s="98"/>
      <c r="AA48" s="85"/>
      <c r="AB48" s="85"/>
      <c r="AC48" s="85"/>
      <c r="AD48" s="85"/>
      <c r="AE48" s="85"/>
      <c r="AF48" s="85"/>
      <c r="AG48" s="83">
        <f t="shared" si="11"/>
        <v>3000</v>
      </c>
    </row>
    <row r="49" spans="1:35" s="1" customFormat="1" ht="24.95" customHeight="1">
      <c r="B49" s="28"/>
      <c r="C49" s="29"/>
      <c r="D49" s="29"/>
      <c r="E49" s="29" t="s">
        <v>397</v>
      </c>
      <c r="F49" s="30" t="e">
        <f>SUM(#REF!)</f>
        <v>#REF!</v>
      </c>
      <c r="G49" s="30" t="e">
        <f>SUM(#REF!)</f>
        <v>#REF!</v>
      </c>
      <c r="H49" s="30" t="e">
        <f>SUM(#REF!)</f>
        <v>#REF!</v>
      </c>
      <c r="I49" s="30" t="e">
        <f>SUM(#REF!)</f>
        <v>#REF!</v>
      </c>
      <c r="J49" s="30" t="e">
        <f>SUM(#REF!)</f>
        <v>#REF!</v>
      </c>
      <c r="K49" s="30" t="e">
        <f>SUM(#REF!)</f>
        <v>#REF!</v>
      </c>
      <c r="L49" s="30" t="e">
        <f>SUM(#REF!)</f>
        <v>#REF!</v>
      </c>
      <c r="M49" s="30" t="e">
        <f>SUM(#REF!)</f>
        <v>#REF!</v>
      </c>
      <c r="N49" s="30" t="e">
        <f>SUM(#REF!)</f>
        <v>#REF!</v>
      </c>
      <c r="O49" s="30" t="e">
        <f>SUM(#REF!)</f>
        <v>#REF!</v>
      </c>
      <c r="P49" s="30">
        <f t="shared" ref="P49:V49" si="12">SUM(P46:P48)</f>
        <v>327000</v>
      </c>
      <c r="Q49" s="30">
        <f t="shared" si="12"/>
        <v>328755.86</v>
      </c>
      <c r="R49" s="30">
        <f t="shared" si="12"/>
        <v>426000</v>
      </c>
      <c r="S49" s="30">
        <f t="shared" si="12"/>
        <v>394507.03200000001</v>
      </c>
      <c r="T49" s="30">
        <f t="shared" si="12"/>
        <v>431000</v>
      </c>
      <c r="U49" s="31">
        <f t="shared" si="12"/>
        <v>0</v>
      </c>
      <c r="V49" s="31">
        <f t="shared" si="12"/>
        <v>0</v>
      </c>
      <c r="W49" s="22"/>
      <c r="X49" s="23"/>
      <c r="Y49" s="5">
        <f>IF(ISBLANK(B49),1,--OR(L49&gt;1,M49&gt;1,N49&gt;1))</f>
        <v>1</v>
      </c>
      <c r="Z49" s="1" t="e">
        <f>+Q49-N49</f>
        <v>#REF!</v>
      </c>
      <c r="AG49" s="1">
        <f t="shared" si="11"/>
        <v>-1755.859999999986</v>
      </c>
    </row>
    <row r="50" spans="1:35" ht="24.95" customHeight="1">
      <c r="A50" s="85">
        <v>15</v>
      </c>
      <c r="B50" s="92">
        <v>1619000580</v>
      </c>
      <c r="C50" s="109" t="str">
        <f t="shared" si="6"/>
        <v>580</v>
      </c>
      <c r="D50" s="109" t="str">
        <f>MID(B50,2,6)</f>
        <v>619000</v>
      </c>
      <c r="E50" s="93" t="s">
        <v>398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>
        <f>VLOOKUP(B:B,'[3]תשלומים 2017'!B:R,15,0)</f>
        <v>0</v>
      </c>
      <c r="Q50" s="95">
        <f>VLOOKUP(B:B,'[3]דוח כספי 10.17 מעודכן'!A:D,4,0)</f>
        <v>0</v>
      </c>
      <c r="R50" s="95">
        <f>VLOOKUP(B:B,'[3]תשלומים 2017'!B:T,17,0)</f>
        <v>0</v>
      </c>
      <c r="S50" s="95">
        <v>0</v>
      </c>
      <c r="T50" s="95">
        <v>200000</v>
      </c>
      <c r="U50" s="110"/>
      <c r="V50" s="110"/>
      <c r="W50" s="97"/>
      <c r="X50" s="91"/>
      <c r="Y50" s="85"/>
      <c r="Z50" s="98"/>
      <c r="AA50" s="85"/>
      <c r="AB50" s="85"/>
      <c r="AC50" s="85"/>
      <c r="AD50" s="85"/>
      <c r="AE50" s="85"/>
      <c r="AF50" s="85"/>
      <c r="AG50" s="83">
        <f t="shared" si="11"/>
        <v>0</v>
      </c>
    </row>
    <row r="51" spans="1:35" s="1" customFormat="1" ht="24.95" customHeight="1">
      <c r="B51" s="28"/>
      <c r="C51" s="29"/>
      <c r="D51" s="29"/>
      <c r="E51" s="29" t="s">
        <v>399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>
        <f t="shared" ref="P51:S51" si="13">SUM(P50)</f>
        <v>0</v>
      </c>
      <c r="Q51" s="30">
        <f t="shared" si="13"/>
        <v>0</v>
      </c>
      <c r="R51" s="30">
        <f t="shared" si="13"/>
        <v>0</v>
      </c>
      <c r="S51" s="30">
        <f t="shared" si="13"/>
        <v>0</v>
      </c>
      <c r="T51" s="30">
        <f>SUM(T50)</f>
        <v>200000</v>
      </c>
      <c r="U51" s="31"/>
      <c r="V51" s="31"/>
      <c r="W51" s="22"/>
      <c r="X51" s="23"/>
      <c r="Y51" s="5"/>
      <c r="AG51" s="1">
        <f t="shared" si="11"/>
        <v>0</v>
      </c>
    </row>
    <row r="52" spans="1:35" ht="24.95" customHeight="1">
      <c r="A52" s="85">
        <v>16</v>
      </c>
      <c r="B52" s="92">
        <v>1621000110</v>
      </c>
      <c r="C52" s="93" t="str">
        <f t="shared" si="6"/>
        <v>110</v>
      </c>
      <c r="D52" s="93" t="str">
        <f t="shared" ref="D52:D64" si="14">MID(B52,2,6)</f>
        <v>621000</v>
      </c>
      <c r="E52" s="93" t="s">
        <v>353</v>
      </c>
      <c r="F52" s="94"/>
      <c r="G52" s="94"/>
      <c r="H52" s="94"/>
      <c r="I52" s="94"/>
      <c r="J52" s="95"/>
      <c r="K52" s="95"/>
      <c r="L52" s="95"/>
      <c r="M52" s="95"/>
      <c r="N52" s="95"/>
      <c r="O52" s="95"/>
      <c r="P52" s="95">
        <f>VLOOKUP(B:B,'[3]תשלומים 2017'!B:R,15,0)</f>
        <v>683000</v>
      </c>
      <c r="Q52" s="95">
        <f>VLOOKUP(B:B,'[3]דוח כספי 10.17 מעודכן'!A:D,4,0)</f>
        <v>519009.27</v>
      </c>
      <c r="R52" s="95">
        <f>VLOOKUP(B:B,'[3]תשלומים 2017'!B:T,17,0)</f>
        <v>687000</v>
      </c>
      <c r="S52" s="95">
        <f>Q52/9*12</f>
        <v>692012.3600000001</v>
      </c>
      <c r="T52" s="95">
        <v>695000</v>
      </c>
      <c r="U52" s="116">
        <v>1</v>
      </c>
      <c r="V52" s="116">
        <v>1.02</v>
      </c>
      <c r="W52" s="97"/>
      <c r="X52" s="91"/>
      <c r="Y52" s="85"/>
      <c r="Z52" s="98"/>
      <c r="AA52" s="85"/>
      <c r="AB52" s="85"/>
      <c r="AC52" s="85"/>
      <c r="AD52" s="85"/>
      <c r="AE52" s="85"/>
      <c r="AF52" s="85"/>
      <c r="AG52"/>
    </row>
    <row r="53" spans="1:35" ht="24.95" customHeight="1">
      <c r="A53" s="85">
        <v>15</v>
      </c>
      <c r="B53" s="92">
        <v>1621000521</v>
      </c>
      <c r="C53" s="109" t="str">
        <f t="shared" si="6"/>
        <v>521</v>
      </c>
      <c r="D53" s="109" t="str">
        <f t="shared" si="14"/>
        <v>621000</v>
      </c>
      <c r="E53" s="93" t="s">
        <v>400</v>
      </c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>
        <f>VLOOKUP(B:B,'[3]תשלומים 2017'!B:R,15,0)</f>
        <v>6000</v>
      </c>
      <c r="Q53" s="95">
        <f>VLOOKUP(B:B,'[3]דוח כספי 10.17 מעודכן'!A:D,4,0)</f>
        <v>4950</v>
      </c>
      <c r="R53" s="95">
        <f>VLOOKUP(B:B,'[3]תשלומים 2017'!B:T,17,0)</f>
        <v>6000</v>
      </c>
      <c r="S53" s="95">
        <f>Q53/10*12</f>
        <v>5940</v>
      </c>
      <c r="T53" s="95">
        <v>6000</v>
      </c>
      <c r="U53" s="110"/>
      <c r="V53" s="110"/>
      <c r="W53" s="97"/>
      <c r="X53" s="91"/>
      <c r="Y53" s="85"/>
      <c r="Z53" s="98"/>
      <c r="AA53" s="85"/>
      <c r="AB53" s="85"/>
      <c r="AC53" s="85"/>
      <c r="AD53" s="85"/>
      <c r="AE53" s="85"/>
      <c r="AF53" s="85"/>
      <c r="AG53" s="83">
        <f>P53-Q53</f>
        <v>1050</v>
      </c>
    </row>
    <row r="54" spans="1:35" ht="24.95" customHeight="1">
      <c r="A54" s="85">
        <v>15</v>
      </c>
      <c r="B54" s="92">
        <v>1621000540</v>
      </c>
      <c r="C54" s="109" t="str">
        <f t="shared" si="6"/>
        <v>540</v>
      </c>
      <c r="D54" s="109" t="str">
        <f t="shared" si="14"/>
        <v>621000</v>
      </c>
      <c r="E54" s="93" t="s">
        <v>401</v>
      </c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>
        <f>VLOOKUP(B:B,'[3]תשלומים 2017'!B:R,15,0)</f>
        <v>1000</v>
      </c>
      <c r="Q54" s="95">
        <f>VLOOKUP(B:B,'[3]דוח כספי 10.17 מעודכן'!A:D,4,0)</f>
        <v>0</v>
      </c>
      <c r="R54" s="95">
        <f>VLOOKUP(B:B,'[3]תשלומים 2017'!B:T,17,0)</f>
        <v>0</v>
      </c>
      <c r="S54" s="95">
        <f>Q54/10*12</f>
        <v>0</v>
      </c>
      <c r="T54" s="95">
        <v>0</v>
      </c>
      <c r="U54" s="110"/>
      <c r="V54" s="110"/>
      <c r="W54" s="97"/>
      <c r="X54" s="91"/>
      <c r="Y54" s="85"/>
      <c r="Z54" s="98"/>
      <c r="AA54" s="85"/>
      <c r="AB54" s="85"/>
      <c r="AC54" s="85"/>
      <c r="AD54" s="85"/>
      <c r="AE54" s="85"/>
      <c r="AF54" s="85"/>
      <c r="AG54" s="83">
        <f>P54-Q54</f>
        <v>1000</v>
      </c>
    </row>
    <row r="55" spans="1:35" ht="24.95" customHeight="1">
      <c r="A55" s="85">
        <v>15</v>
      </c>
      <c r="B55" s="92">
        <v>1621000750</v>
      </c>
      <c r="C55" s="109" t="str">
        <f t="shared" si="6"/>
        <v>750</v>
      </c>
      <c r="D55" s="109" t="str">
        <f t="shared" si="14"/>
        <v>621000</v>
      </c>
      <c r="E55" s="93" t="s">
        <v>402</v>
      </c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>
        <f>VLOOKUP(B:B,'[3]תשלומים 2017'!B:R,15,0)</f>
        <v>142000</v>
      </c>
      <c r="Q55" s="95">
        <f>VLOOKUP(B:B,'[3]דוח כספי 10.17 מעודכן'!A:D,4,0)</f>
        <v>93447</v>
      </c>
      <c r="R55" s="95">
        <f>VLOOKUP(B:B,'[3]תשלומים 2017'!B:T,17,0)</f>
        <v>145000</v>
      </c>
      <c r="S55" s="95">
        <f>Q55/10*12</f>
        <v>112136.40000000001</v>
      </c>
      <c r="T55" s="95">
        <v>200000</v>
      </c>
      <c r="U55" s="110"/>
      <c r="V55" s="110"/>
      <c r="W55" s="97"/>
      <c r="X55" s="91"/>
      <c r="Y55" s="85"/>
      <c r="Z55" s="98"/>
      <c r="AA55" s="85"/>
      <c r="AB55" s="85"/>
      <c r="AC55" s="85"/>
      <c r="AD55" s="85"/>
      <c r="AE55" s="85"/>
      <c r="AF55" s="85"/>
      <c r="AG55" s="83">
        <f>P55-Q55</f>
        <v>48553</v>
      </c>
    </row>
    <row r="56" spans="1:35" ht="24.95" customHeight="1">
      <c r="A56" s="85">
        <v>16</v>
      </c>
      <c r="B56" s="92">
        <v>1621100110</v>
      </c>
      <c r="C56" s="93" t="str">
        <f t="shared" si="6"/>
        <v>110</v>
      </c>
      <c r="D56" s="93" t="str">
        <f t="shared" si="14"/>
        <v>621100</v>
      </c>
      <c r="E56" s="93" t="s">
        <v>403</v>
      </c>
      <c r="F56" s="94"/>
      <c r="G56" s="94"/>
      <c r="H56" s="94"/>
      <c r="I56" s="94"/>
      <c r="J56" s="95"/>
      <c r="K56" s="95"/>
      <c r="L56" s="95"/>
      <c r="M56" s="95"/>
      <c r="N56" s="95"/>
      <c r="O56" s="95"/>
      <c r="P56" s="95">
        <f>VLOOKUP(B:B,'[3]תשלומים 2017'!B:R,15,0)</f>
        <v>0</v>
      </c>
      <c r="Q56" s="95">
        <f>VLOOKUP(B:B,'[3]דוח כספי 10.17 מעודכן'!A:D,4,0)</f>
        <v>0</v>
      </c>
      <c r="R56" s="95">
        <f>VLOOKUP(B:B,'[3]תשלומים 2017'!B:T,17,0)</f>
        <v>0</v>
      </c>
      <c r="S56" s="95">
        <f>Q56/9*12</f>
        <v>0</v>
      </c>
      <c r="T56" s="95">
        <v>0</v>
      </c>
      <c r="U56" s="111"/>
      <c r="V56" s="111"/>
      <c r="W56" s="97"/>
      <c r="X56" s="91"/>
      <c r="Y56" s="85"/>
      <c r="Z56" s="98"/>
      <c r="AA56" s="85"/>
      <c r="AB56" s="85"/>
      <c r="AC56" s="85"/>
      <c r="AD56" s="85"/>
      <c r="AE56" s="85"/>
      <c r="AF56" s="85"/>
      <c r="AG56"/>
    </row>
    <row r="57" spans="1:35" ht="24.95" customHeight="1">
      <c r="A57" s="85">
        <v>15</v>
      </c>
      <c r="B57" s="92">
        <v>1621100523</v>
      </c>
      <c r="C57" s="109" t="str">
        <f t="shared" si="6"/>
        <v>523</v>
      </c>
      <c r="D57" s="109" t="str">
        <f t="shared" si="14"/>
        <v>621100</v>
      </c>
      <c r="E57" s="93" t="s">
        <v>404</v>
      </c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>
        <f>VLOOKUP(B:B,'[3]תשלומים 2017'!B:R,15,0)</f>
        <v>0</v>
      </c>
      <c r="Q57" s="95">
        <f>VLOOKUP(B:B,'[3]דוח כספי 10.17 מעודכן'!A:D,4,0)</f>
        <v>0</v>
      </c>
      <c r="R57" s="95">
        <f>VLOOKUP(B:B,'[3]תשלומים 2017'!B:T,17,0)</f>
        <v>0</v>
      </c>
      <c r="S57" s="95">
        <f>Q57/10*12</f>
        <v>0</v>
      </c>
      <c r="T57" s="95">
        <v>0</v>
      </c>
      <c r="U57" s="110"/>
      <c r="V57" s="110"/>
      <c r="W57" s="97"/>
      <c r="X57" s="91"/>
      <c r="Y57" s="85"/>
      <c r="Z57" s="98"/>
      <c r="AA57" s="85"/>
      <c r="AB57" s="85"/>
      <c r="AC57" s="85"/>
      <c r="AD57" s="85"/>
      <c r="AE57" s="85"/>
      <c r="AF57" s="85"/>
      <c r="AG57" s="83">
        <f>P57-Q57</f>
        <v>0</v>
      </c>
    </row>
    <row r="58" spans="1:35" ht="24.95" customHeight="1">
      <c r="A58" s="85">
        <v>15</v>
      </c>
      <c r="B58" s="92">
        <v>1621100810</v>
      </c>
      <c r="C58" s="109" t="str">
        <f t="shared" si="6"/>
        <v>810</v>
      </c>
      <c r="D58" s="109" t="str">
        <f t="shared" si="14"/>
        <v>621100</v>
      </c>
      <c r="E58" s="93" t="s">
        <v>405</v>
      </c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>
        <f>VLOOKUP(B:B,'[3]תשלומים 2017'!B:R,15,0)</f>
        <v>0</v>
      </c>
      <c r="Q58" s="95">
        <f>VLOOKUP(B:B,'[3]דוח כספי 10.17 מעודכן'!A:D,4,0)</f>
        <v>0</v>
      </c>
      <c r="R58" s="95">
        <f>VLOOKUP(B:B,'[3]תשלומים 2017'!B:T,17,0)</f>
        <v>0</v>
      </c>
      <c r="S58" s="95">
        <f>Q58/10*12</f>
        <v>0</v>
      </c>
      <c r="T58" s="95">
        <v>0</v>
      </c>
      <c r="U58" s="110"/>
      <c r="V58" s="110"/>
      <c r="W58" s="97"/>
      <c r="X58" s="91"/>
      <c r="Y58" s="85"/>
      <c r="Z58" s="98"/>
      <c r="AA58" s="85"/>
      <c r="AB58" s="85"/>
      <c r="AC58" s="85"/>
      <c r="AD58" s="85"/>
      <c r="AE58" s="85"/>
      <c r="AF58" s="85"/>
      <c r="AG58" s="83">
        <f>P58-Q58</f>
        <v>0</v>
      </c>
    </row>
    <row r="59" spans="1:35" ht="24.95" customHeight="1">
      <c r="A59" s="85">
        <v>16</v>
      </c>
      <c r="B59" s="92">
        <v>1621130110</v>
      </c>
      <c r="C59" s="93" t="str">
        <f t="shared" si="6"/>
        <v>110</v>
      </c>
      <c r="D59" s="93" t="str">
        <f t="shared" si="14"/>
        <v>621130</v>
      </c>
      <c r="E59" s="93" t="s">
        <v>406</v>
      </c>
      <c r="F59" s="94"/>
      <c r="G59" s="94"/>
      <c r="H59" s="94"/>
      <c r="I59" s="94"/>
      <c r="J59" s="95"/>
      <c r="K59" s="95"/>
      <c r="L59" s="95"/>
      <c r="M59" s="95"/>
      <c r="N59" s="95"/>
      <c r="O59" s="95"/>
      <c r="P59" s="95">
        <f>VLOOKUP(B:B,'[3]תשלומים 2017'!B:R,15,0)</f>
        <v>129000</v>
      </c>
      <c r="Q59" s="95">
        <f>VLOOKUP(B:B,'[3]דוח כספי 10.17 מעודכן'!A:D,4,0)</f>
        <v>95161.8</v>
      </c>
      <c r="R59" s="95">
        <v>130000</v>
      </c>
      <c r="S59" s="95">
        <f>Q59/9*12</f>
        <v>126882.4</v>
      </c>
      <c r="T59" s="95">
        <v>124000</v>
      </c>
      <c r="U59" s="111">
        <v>1</v>
      </c>
      <c r="V59" s="111">
        <v>1</v>
      </c>
      <c r="W59" s="97"/>
      <c r="X59" s="91"/>
      <c r="Y59" s="85"/>
      <c r="Z59" s="98"/>
      <c r="AA59" s="85"/>
      <c r="AB59" s="85"/>
      <c r="AC59" s="85"/>
      <c r="AD59" s="85"/>
      <c r="AE59" s="85"/>
      <c r="AF59" s="85"/>
      <c r="AG59"/>
    </row>
    <row r="60" spans="1:35" ht="24.95" customHeight="1">
      <c r="A60" s="85">
        <v>16</v>
      </c>
      <c r="B60" s="92">
        <v>1621300110</v>
      </c>
      <c r="C60" s="93" t="str">
        <f t="shared" si="6"/>
        <v>110</v>
      </c>
      <c r="D60" s="93" t="str">
        <f t="shared" si="14"/>
        <v>621300</v>
      </c>
      <c r="E60" s="93" t="s">
        <v>353</v>
      </c>
      <c r="F60" s="94"/>
      <c r="G60" s="94"/>
      <c r="H60" s="94"/>
      <c r="I60" s="94"/>
      <c r="J60" s="95"/>
      <c r="K60" s="95"/>
      <c r="L60" s="95"/>
      <c r="M60" s="95"/>
      <c r="N60" s="95"/>
      <c r="O60" s="95"/>
      <c r="P60" s="95">
        <f>VLOOKUP(B:B,'[3]תשלומים 2017'!B:R,15,0)</f>
        <v>142000</v>
      </c>
      <c r="Q60" s="95">
        <f>VLOOKUP(B:B,'[3]דוח כספי 10.17 מעודכן'!A:D,4,0)</f>
        <v>130477.56</v>
      </c>
      <c r="R60" s="95">
        <f>VLOOKUP(B:B,'[3]תשלומים 2017'!B:T,17,0)</f>
        <v>172000</v>
      </c>
      <c r="S60" s="95">
        <f>Q60/9*12</f>
        <v>173970.08</v>
      </c>
      <c r="T60" s="95">
        <v>190000</v>
      </c>
      <c r="U60" s="111">
        <v>1</v>
      </c>
      <c r="V60" s="111">
        <v>1</v>
      </c>
      <c r="W60" s="97"/>
      <c r="X60" s="91"/>
      <c r="Y60" s="85"/>
      <c r="Z60" s="98"/>
      <c r="AA60" s="85"/>
      <c r="AB60" s="85"/>
      <c r="AC60" s="85"/>
      <c r="AD60" s="85"/>
      <c r="AE60" s="85"/>
      <c r="AF60" s="85"/>
      <c r="AG60"/>
    </row>
    <row r="61" spans="1:35" ht="24.95" customHeight="1">
      <c r="A61" s="85">
        <v>15</v>
      </c>
      <c r="B61" s="92">
        <v>1621300521</v>
      </c>
      <c r="C61" s="109" t="str">
        <f t="shared" si="6"/>
        <v>521</v>
      </c>
      <c r="D61" s="109" t="str">
        <f t="shared" si="14"/>
        <v>621300</v>
      </c>
      <c r="E61" s="93" t="s">
        <v>357</v>
      </c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>
        <f>VLOOKUP(B:B,'[3]תשלומים 2017'!B:R,15,0)</f>
        <v>4000</v>
      </c>
      <c r="Q61" s="95">
        <f>VLOOKUP(B:B,'[3]דוח כספי 10.17 מעודכן'!A:D,4,0)</f>
        <v>0</v>
      </c>
      <c r="R61" s="95">
        <f>VLOOKUP(B:B,'[3]תשלומים 2017'!B:T,17,0)</f>
        <v>0</v>
      </c>
      <c r="S61" s="95">
        <f>Q61/10*12</f>
        <v>0</v>
      </c>
      <c r="T61" s="95">
        <v>0</v>
      </c>
      <c r="U61" s="110"/>
      <c r="V61" s="110"/>
      <c r="W61" s="97"/>
      <c r="X61" s="91"/>
      <c r="Y61" s="85"/>
      <c r="Z61" s="98"/>
      <c r="AA61" s="85"/>
      <c r="AB61" s="85"/>
      <c r="AC61" s="85"/>
      <c r="AD61" s="85"/>
      <c r="AE61" s="85"/>
      <c r="AF61" s="85"/>
      <c r="AG61" s="83">
        <f>P61-Q61</f>
        <v>4000</v>
      </c>
    </row>
    <row r="62" spans="1:35" ht="24.95" customHeight="1">
      <c r="A62" s="85">
        <v>15</v>
      </c>
      <c r="B62" s="92">
        <v>1621300570</v>
      </c>
      <c r="C62" s="109" t="str">
        <f t="shared" si="6"/>
        <v>570</v>
      </c>
      <c r="D62" s="109" t="str">
        <f t="shared" si="14"/>
        <v>621300</v>
      </c>
      <c r="E62" s="93" t="s">
        <v>407</v>
      </c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>
        <f>VLOOKUP(B:B,'[3]תשלומים 2017'!B:R,15,0)</f>
        <v>261000</v>
      </c>
      <c r="Q62" s="103">
        <f>VLOOKUP(B:B,'[3]דוח כספי 10.17 מעודכן'!A:D,4,0)</f>
        <v>228885.87</v>
      </c>
      <c r="R62" s="103">
        <f>VLOOKUP(B:B,'[3]תשלומים 2017'!B:T,17,0)</f>
        <v>305000</v>
      </c>
      <c r="S62" s="103">
        <f>Q62/10*12</f>
        <v>274663.04399999999</v>
      </c>
      <c r="T62" s="103">
        <v>275000</v>
      </c>
      <c r="U62" s="110"/>
      <c r="V62" s="110"/>
      <c r="W62" s="97"/>
      <c r="X62" s="91"/>
      <c r="Y62" s="85"/>
      <c r="Z62" s="98"/>
      <c r="AA62" s="85"/>
      <c r="AB62" s="85"/>
      <c r="AC62" s="85"/>
      <c r="AD62" s="85"/>
      <c r="AE62" s="85"/>
      <c r="AF62" s="85"/>
      <c r="AG62" s="83">
        <f>P62-Q62</f>
        <v>32114.130000000005</v>
      </c>
    </row>
    <row r="63" spans="1:35" ht="24.95" customHeight="1">
      <c r="A63" s="85">
        <v>16</v>
      </c>
      <c r="B63" s="92">
        <v>1621500110</v>
      </c>
      <c r="C63" s="93" t="str">
        <f t="shared" si="6"/>
        <v>110</v>
      </c>
      <c r="D63" s="93" t="str">
        <f t="shared" si="14"/>
        <v>621500</v>
      </c>
      <c r="E63" s="93" t="s">
        <v>408</v>
      </c>
      <c r="F63" s="94"/>
      <c r="G63" s="94"/>
      <c r="H63" s="94"/>
      <c r="I63" s="94"/>
      <c r="J63" s="95"/>
      <c r="K63" s="95"/>
      <c r="L63" s="95"/>
      <c r="M63" s="95"/>
      <c r="N63" s="95"/>
      <c r="O63" s="95"/>
      <c r="P63" s="95">
        <f>VLOOKUP(B:B,'[3]תשלומים 2017'!B:R,15,0)</f>
        <v>100000</v>
      </c>
      <c r="Q63" s="95">
        <f>VLOOKUP(B:B,'[3]דוח כספי 10.17 מעודכן'!A:D,4,0)</f>
        <v>74893.94</v>
      </c>
      <c r="R63" s="95">
        <f>VLOOKUP(B:B,'[3]תשלומים 2017'!B:T,17,0)</f>
        <v>100000</v>
      </c>
      <c r="S63" s="95">
        <f>Q63/9*12</f>
        <v>99858.58666666667</v>
      </c>
      <c r="T63" s="95">
        <v>100000</v>
      </c>
      <c r="U63" s="111">
        <v>1</v>
      </c>
      <c r="V63" s="111">
        <v>1</v>
      </c>
      <c r="W63" s="97"/>
      <c r="X63" s="91"/>
      <c r="Y63" s="85"/>
      <c r="Z63" s="98"/>
      <c r="AA63" s="85"/>
      <c r="AB63" s="85"/>
      <c r="AC63" s="85"/>
      <c r="AD63" s="85"/>
      <c r="AE63" s="85"/>
      <c r="AF63" s="85"/>
      <c r="AG63"/>
    </row>
    <row r="64" spans="1:35" ht="24.95" customHeight="1">
      <c r="A64" s="85">
        <v>16</v>
      </c>
      <c r="B64" s="18">
        <v>1621600110</v>
      </c>
      <c r="C64" s="117" t="str">
        <f t="shared" si="6"/>
        <v>110</v>
      </c>
      <c r="D64" s="117" t="str">
        <f t="shared" si="14"/>
        <v>621600</v>
      </c>
      <c r="E64" s="19" t="s">
        <v>409</v>
      </c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9">
        <f>VLOOKUP(B:B,'[3]תשלומים 2017'!B:R,15,0)</f>
        <v>0</v>
      </c>
      <c r="Q64" s="119">
        <f>VLOOKUP(B:B,'[3]דוח כספי 10.17 מעודכן'!A:D,4,0)</f>
        <v>0</v>
      </c>
      <c r="R64" s="119">
        <f>VLOOKUP(B:B,'[3]תשלומים 2017'!B:T,17,0)</f>
        <v>0</v>
      </c>
      <c r="S64" s="119">
        <f>Q64/9*12</f>
        <v>0</v>
      </c>
      <c r="T64" s="119">
        <v>100000</v>
      </c>
      <c r="U64" s="120">
        <v>1</v>
      </c>
      <c r="V64" s="120">
        <v>1</v>
      </c>
      <c r="W64" s="97"/>
      <c r="X64" s="91"/>
      <c r="Y64" s="85"/>
      <c r="Z64" s="98"/>
      <c r="AA64" s="85"/>
      <c r="AB64" s="85"/>
      <c r="AC64" s="85"/>
      <c r="AD64" s="85"/>
      <c r="AE64" s="85"/>
      <c r="AF64" s="85"/>
      <c r="AG64"/>
      <c r="AI64" s="114" t="s">
        <v>410</v>
      </c>
    </row>
    <row r="65" spans="1:33" s="1" customFormat="1" ht="24.95" customHeight="1">
      <c r="B65" s="28"/>
      <c r="C65" s="29"/>
      <c r="D65" s="29"/>
      <c r="E65" s="29" t="s">
        <v>411</v>
      </c>
      <c r="F65" s="30" t="e">
        <f>SUM(#REF!)</f>
        <v>#REF!</v>
      </c>
      <c r="G65" s="30" t="e">
        <f>SUM(#REF!)</f>
        <v>#REF!</v>
      </c>
      <c r="H65" s="30" t="e">
        <f>SUM(#REF!)</f>
        <v>#REF!</v>
      </c>
      <c r="I65" s="30" t="e">
        <f>SUM(#REF!)</f>
        <v>#REF!</v>
      </c>
      <c r="J65" s="30" t="e">
        <f>SUM(#REF!)</f>
        <v>#REF!</v>
      </c>
      <c r="K65" s="30" t="e">
        <f>SUM(#REF!)</f>
        <v>#REF!</v>
      </c>
      <c r="L65" s="30" t="e">
        <f>SUM(#REF!)</f>
        <v>#REF!</v>
      </c>
      <c r="M65" s="30" t="e">
        <f>SUM(#REF!)</f>
        <v>#REF!</v>
      </c>
      <c r="N65" s="30" t="e">
        <f>SUM(#REF!)</f>
        <v>#REF!</v>
      </c>
      <c r="O65" s="30" t="e">
        <f>SUM(#REF!)</f>
        <v>#REF!</v>
      </c>
      <c r="P65" s="30">
        <f>SUM(P52:P64)</f>
        <v>1468000</v>
      </c>
      <c r="Q65" s="30">
        <f>SUM(Q52:Q64)</f>
        <v>1146825.44</v>
      </c>
      <c r="R65" s="30">
        <f>SUM(R52:R64)</f>
        <v>1545000</v>
      </c>
      <c r="S65" s="30">
        <f t="shared" ref="S65:V65" si="15">SUM(S52:S64)</f>
        <v>1485462.8706666669</v>
      </c>
      <c r="T65" s="30">
        <f>SUM(T52:T64)</f>
        <v>1690000</v>
      </c>
      <c r="U65" s="112">
        <f>SUM(U52:U64)</f>
        <v>5</v>
      </c>
      <c r="V65" s="112">
        <f t="shared" si="15"/>
        <v>5.0199999999999996</v>
      </c>
      <c r="W65" s="22"/>
      <c r="X65" s="23"/>
      <c r="Y65" s="5">
        <f>IF(ISBLANK(B65),1,--OR(L65&gt;1,M65&gt;1,N65&gt;1))</f>
        <v>1</v>
      </c>
      <c r="Z65" s="1">
        <v>0</v>
      </c>
      <c r="AG65" s="1">
        <f>P65-Q65</f>
        <v>321174.56000000006</v>
      </c>
    </row>
    <row r="66" spans="1:33" ht="24.95" customHeight="1">
      <c r="A66" s="85">
        <v>16</v>
      </c>
      <c r="B66" s="92">
        <v>1623000110</v>
      </c>
      <c r="C66" s="109" t="str">
        <f t="shared" si="6"/>
        <v>110</v>
      </c>
      <c r="D66" s="109" t="str">
        <f>MID(B66,2,6)</f>
        <v>623000</v>
      </c>
      <c r="E66" s="93" t="s">
        <v>353</v>
      </c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>
        <f>VLOOKUP(B:B,'[3]תשלומים 2017'!B:R,15,0)</f>
        <v>0</v>
      </c>
      <c r="Q66" s="95">
        <f>VLOOKUP(B:B,'[3]דוח כספי 10.17 מעודכן'!A:D,4,0)</f>
        <v>0</v>
      </c>
      <c r="R66" s="95">
        <f>VLOOKUP(B:B,'[3]תשלומים 2017'!B:T,17,0)</f>
        <v>0</v>
      </c>
      <c r="S66" s="95">
        <f>Q66/9*12</f>
        <v>0</v>
      </c>
      <c r="T66" s="95">
        <v>0</v>
      </c>
      <c r="U66" s="110"/>
      <c r="V66" s="110"/>
      <c r="W66" s="97"/>
      <c r="X66" s="91"/>
      <c r="Y66" s="85"/>
      <c r="Z66" s="98"/>
      <c r="AA66" s="85"/>
      <c r="AB66" s="85"/>
      <c r="AC66" s="85"/>
      <c r="AD66" s="85"/>
      <c r="AE66" s="85"/>
      <c r="AF66" s="85"/>
      <c r="AG66"/>
    </row>
    <row r="67" spans="1:33" ht="24.95" customHeight="1">
      <c r="A67" s="85">
        <v>15</v>
      </c>
      <c r="B67" s="92">
        <v>1623000750</v>
      </c>
      <c r="C67" s="109" t="str">
        <f t="shared" si="6"/>
        <v>750</v>
      </c>
      <c r="D67" s="109" t="str">
        <f>MID(B67,2,6)</f>
        <v>623000</v>
      </c>
      <c r="E67" s="93" t="s">
        <v>412</v>
      </c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>
        <f>VLOOKUP(B:B,'[3]תשלומים 2017'!B:R,15,0)</f>
        <v>550000</v>
      </c>
      <c r="Q67" s="95">
        <f>VLOOKUP(B:B,'[3]דוח כספי 10.17 מעודכן'!A:D,4,0)</f>
        <v>355922.14</v>
      </c>
      <c r="R67" s="95">
        <f>VLOOKUP(B:B,'[3]תשלומים 2017'!B:T,17,0)</f>
        <v>550000</v>
      </c>
      <c r="S67" s="95">
        <f>Q67/10*12</f>
        <v>427106.56799999997</v>
      </c>
      <c r="T67" s="95">
        <v>350000</v>
      </c>
      <c r="U67" s="110"/>
      <c r="V67" s="110"/>
      <c r="W67" s="97"/>
      <c r="X67" s="91"/>
      <c r="Y67" s="85"/>
      <c r="Z67" s="98"/>
      <c r="AA67" s="85"/>
      <c r="AB67" s="85"/>
      <c r="AC67" s="85"/>
      <c r="AD67" s="85"/>
      <c r="AE67" s="85"/>
      <c r="AF67" s="85"/>
      <c r="AG67" s="83">
        <f>P67-Q67</f>
        <v>194077.86</v>
      </c>
    </row>
    <row r="68" spans="1:33" ht="24.95" customHeight="1">
      <c r="A68" s="85">
        <v>16</v>
      </c>
      <c r="B68" s="92">
        <v>1623100110</v>
      </c>
      <c r="C68" s="109" t="str">
        <f t="shared" si="6"/>
        <v>110</v>
      </c>
      <c r="D68" s="109" t="str">
        <f>MID(B68,2,6)</f>
        <v>623100</v>
      </c>
      <c r="E68" s="93" t="s">
        <v>413</v>
      </c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>
        <f>VLOOKUP(B:B,'[3]תשלומים 2017'!B:R,15,0)</f>
        <v>67000</v>
      </c>
      <c r="Q68" s="95">
        <f>VLOOKUP(B:B,'[3]דוח כספי 10.17 מעודכן'!A:D,4,0)</f>
        <v>88423.46</v>
      </c>
      <c r="R68" s="95">
        <f>VLOOKUP(B:B,'[3]תשלומים 2017'!B:T,17,0)</f>
        <v>118000</v>
      </c>
      <c r="S68" s="95">
        <f>Q68/9*12</f>
        <v>117897.94666666667</v>
      </c>
      <c r="T68" s="95">
        <v>118000</v>
      </c>
      <c r="U68" s="96">
        <v>1</v>
      </c>
      <c r="V68" s="96">
        <v>1</v>
      </c>
      <c r="W68" s="97"/>
      <c r="X68" s="91"/>
      <c r="Y68" s="85"/>
      <c r="Z68" s="98"/>
      <c r="AA68" s="85"/>
      <c r="AB68" s="85"/>
      <c r="AC68" s="85"/>
      <c r="AD68" s="85"/>
      <c r="AE68" s="85"/>
      <c r="AF68" s="85"/>
      <c r="AG68"/>
    </row>
    <row r="69" spans="1:33" s="1" customFormat="1" ht="24.95" customHeight="1">
      <c r="B69" s="28"/>
      <c r="C69" s="29"/>
      <c r="D69" s="29"/>
      <c r="E69" s="29" t="s">
        <v>414</v>
      </c>
      <c r="F69" s="30" t="e">
        <f>SUM(#REF!)</f>
        <v>#REF!</v>
      </c>
      <c r="G69" s="30" t="e">
        <f>SUM(#REF!)</f>
        <v>#REF!</v>
      </c>
      <c r="H69" s="30" t="e">
        <f>SUM(#REF!)</f>
        <v>#REF!</v>
      </c>
      <c r="I69" s="30" t="e">
        <f>SUM(#REF!)</f>
        <v>#REF!</v>
      </c>
      <c r="J69" s="30" t="e">
        <f>SUM(#REF!)</f>
        <v>#REF!</v>
      </c>
      <c r="K69" s="30" t="e">
        <f>SUM(#REF!)</f>
        <v>#REF!</v>
      </c>
      <c r="L69" s="30" t="e">
        <f>SUM(#REF!)</f>
        <v>#REF!</v>
      </c>
      <c r="M69" s="30" t="e">
        <f>SUM(#REF!)</f>
        <v>#REF!</v>
      </c>
      <c r="N69" s="30" t="e">
        <f>SUM(#REF!)</f>
        <v>#REF!</v>
      </c>
      <c r="O69" s="30" t="e">
        <f>SUM(#REF!)</f>
        <v>#REF!</v>
      </c>
      <c r="P69" s="30">
        <f>SUM(P66:P68)</f>
        <v>617000</v>
      </c>
      <c r="Q69" s="30">
        <f>SUM(Q66:Q68)</f>
        <v>444345.60000000003</v>
      </c>
      <c r="R69" s="30">
        <f>SUM(R66:R68)</f>
        <v>668000</v>
      </c>
      <c r="S69" s="30">
        <f t="shared" ref="S69:V69" si="16">SUM(S66:S68)</f>
        <v>545004.51466666663</v>
      </c>
      <c r="T69" s="30">
        <f>SUM(T66:T68)</f>
        <v>468000</v>
      </c>
      <c r="U69" s="112">
        <f>SUM(U66:U68)</f>
        <v>1</v>
      </c>
      <c r="V69" s="112">
        <f t="shared" si="16"/>
        <v>1</v>
      </c>
      <c r="W69" s="22"/>
      <c r="X69" s="23"/>
      <c r="Y69" s="5">
        <f>IF(ISBLANK(B69),1,--OR(L69&gt;1,M69&gt;1,N69&gt;1))</f>
        <v>1</v>
      </c>
      <c r="Z69" s="1">
        <v>0</v>
      </c>
      <c r="AG69" s="1">
        <f t="shared" ref="AG69:AG79" si="17">P69-Q69</f>
        <v>172654.39999999997</v>
      </c>
    </row>
    <row r="70" spans="1:33" ht="24.95" customHeight="1">
      <c r="A70" s="85">
        <v>17</v>
      </c>
      <c r="B70" s="92">
        <v>1631000610</v>
      </c>
      <c r="C70" s="109" t="str">
        <f t="shared" si="6"/>
        <v>610</v>
      </c>
      <c r="D70" s="109" t="str">
        <f>MID(B70,2,6)</f>
        <v>631000</v>
      </c>
      <c r="E70" s="93" t="s">
        <v>415</v>
      </c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>
        <f>VLOOKUP(B:B,'[3]תשלומים 2017'!B:R,15,0)</f>
        <v>147000</v>
      </c>
      <c r="Q70" s="95">
        <f>VLOOKUP(B:B,'[3]דוח כספי 10.17 מעודכן'!A:D,4,0)</f>
        <v>135475.04</v>
      </c>
      <c r="R70" s="95">
        <f>VLOOKUP(B:B,'[3]תשלומים 2017'!B:T,17,0)</f>
        <v>163000</v>
      </c>
      <c r="S70" s="95">
        <f>Q70/10*12</f>
        <v>162570.04800000001</v>
      </c>
      <c r="T70" s="95">
        <v>165000</v>
      </c>
      <c r="U70" s="110"/>
      <c r="V70" s="110"/>
      <c r="W70" s="97"/>
      <c r="X70" s="91"/>
      <c r="Y70" s="85"/>
      <c r="Z70" s="98"/>
      <c r="AA70" s="85"/>
      <c r="AB70" s="85"/>
      <c r="AC70" s="85"/>
      <c r="AD70" s="85"/>
      <c r="AE70" s="85"/>
      <c r="AF70" s="85"/>
      <c r="AG70" s="83">
        <f t="shared" si="17"/>
        <v>11524.959999999992</v>
      </c>
    </row>
    <row r="71" spans="1:33" ht="24.95" customHeight="1">
      <c r="A71" s="85">
        <v>17</v>
      </c>
      <c r="B71" s="92">
        <v>1632000620</v>
      </c>
      <c r="C71" s="109" t="str">
        <f t="shared" si="6"/>
        <v>620</v>
      </c>
      <c r="D71" s="109" t="str">
        <f>MID(B71,2,6)</f>
        <v>632000</v>
      </c>
      <c r="E71" s="93" t="s">
        <v>416</v>
      </c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>
        <f>VLOOKUP(B:B,'[3]תשלומים 2017'!B:R,15,0)</f>
        <v>3000</v>
      </c>
      <c r="Q71" s="95">
        <f>VLOOKUP(B:B,'[3]דוח כספי 10.17 מעודכן'!A:D,4,0)</f>
        <v>-929.32</v>
      </c>
      <c r="R71" s="95">
        <f>VLOOKUP(B:B,'[3]תשלומים 2017'!B:T,17,0)</f>
        <v>0</v>
      </c>
      <c r="S71" s="95">
        <f>Q71/10*12</f>
        <v>-1115.184</v>
      </c>
      <c r="T71" s="95">
        <v>0</v>
      </c>
      <c r="U71" s="110"/>
      <c r="V71" s="110"/>
      <c r="W71" s="97"/>
      <c r="X71" s="91"/>
      <c r="Y71" s="85"/>
      <c r="Z71" s="98"/>
      <c r="AA71" s="85"/>
      <c r="AB71" s="85"/>
      <c r="AC71" s="85"/>
      <c r="AD71" s="85"/>
      <c r="AE71" s="85"/>
      <c r="AF71" s="85"/>
      <c r="AG71" s="83">
        <f t="shared" si="17"/>
        <v>3929.32</v>
      </c>
    </row>
    <row r="72" spans="1:33" s="1" customFormat="1" ht="24.95" customHeight="1">
      <c r="B72" s="28"/>
      <c r="C72" s="29"/>
      <c r="D72" s="29"/>
      <c r="E72" s="29" t="s">
        <v>417</v>
      </c>
      <c r="F72" s="30" t="e">
        <f>SUM(#REF!)</f>
        <v>#REF!</v>
      </c>
      <c r="G72" s="30" t="e">
        <f>SUM(#REF!)</f>
        <v>#REF!</v>
      </c>
      <c r="H72" s="30" t="e">
        <f>SUM(#REF!)</f>
        <v>#REF!</v>
      </c>
      <c r="I72" s="30" t="e">
        <f>SUM(#REF!)</f>
        <v>#REF!</v>
      </c>
      <c r="J72" s="30" t="e">
        <f>SUM(#REF!)</f>
        <v>#REF!</v>
      </c>
      <c r="K72" s="30" t="e">
        <f>SUM(#REF!)</f>
        <v>#REF!</v>
      </c>
      <c r="L72" s="30" t="e">
        <f>SUM(#REF!)</f>
        <v>#REF!</v>
      </c>
      <c r="M72" s="30" t="e">
        <f>SUM(#REF!)</f>
        <v>#REF!</v>
      </c>
      <c r="N72" s="30" t="e">
        <f>SUM(#REF!)</f>
        <v>#REF!</v>
      </c>
      <c r="O72" s="30" t="e">
        <f>SUM(#REF!)</f>
        <v>#REF!</v>
      </c>
      <c r="P72" s="30">
        <f>SUM(P70:P71)</f>
        <v>150000</v>
      </c>
      <c r="Q72" s="30">
        <f>SUM(Q70:Q71)</f>
        <v>134545.72</v>
      </c>
      <c r="R72" s="30">
        <f>SUM(R70:R71)</f>
        <v>163000</v>
      </c>
      <c r="S72" s="30">
        <f t="shared" ref="S72:V72" si="18">SUM(S70:S71)</f>
        <v>161454.864</v>
      </c>
      <c r="T72" s="30">
        <f>SUM(T70:T71)</f>
        <v>165000</v>
      </c>
      <c r="U72" s="31">
        <f t="shared" si="18"/>
        <v>0</v>
      </c>
      <c r="V72" s="31">
        <f t="shared" si="18"/>
        <v>0</v>
      </c>
      <c r="W72" s="22" t="e">
        <f>SUM(#REF!)</f>
        <v>#REF!</v>
      </c>
      <c r="X72" s="23" t="e">
        <f>SUM(#REF!)</f>
        <v>#REF!</v>
      </c>
      <c r="Y72" s="5">
        <f>IF(ISBLANK(B72),1,--OR(L72&gt;1,M72&gt;1,N72&gt;1))</f>
        <v>1</v>
      </c>
      <c r="Z72" s="1">
        <v>0</v>
      </c>
      <c r="AG72" s="1">
        <f t="shared" si="17"/>
        <v>15454.279999999999</v>
      </c>
    </row>
    <row r="73" spans="1:33" ht="24.95" customHeight="1">
      <c r="A73" s="85">
        <v>23</v>
      </c>
      <c r="B73" s="92">
        <v>1649100691</v>
      </c>
      <c r="C73" s="109" t="str">
        <f t="shared" si="6"/>
        <v>691</v>
      </c>
      <c r="D73" s="109" t="str">
        <f>MID(B73,2,6)</f>
        <v>649100</v>
      </c>
      <c r="E73" s="93" t="s">
        <v>418</v>
      </c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>
        <f>VLOOKUP(B:B,'[3]תשלומים 2017'!B:R,15,0)</f>
        <v>276000</v>
      </c>
      <c r="Q73" s="95">
        <f>VLOOKUP(B:B,'[3]דוח כספי 10.17 מעודכן'!A:D,4,0)</f>
        <v>248684.64</v>
      </c>
      <c r="R73" s="95">
        <f>VLOOKUP(B:B,'[3]תשלומים 2017'!B:T,17,0)</f>
        <v>276000</v>
      </c>
      <c r="S73" s="95">
        <f>Q73/9*12</f>
        <v>331579.52000000002</v>
      </c>
      <c r="T73" s="95">
        <v>284000</v>
      </c>
      <c r="U73" s="110"/>
      <c r="V73" s="110"/>
      <c r="W73" s="97"/>
      <c r="X73" s="91"/>
      <c r="Y73" s="85"/>
      <c r="Z73" s="98"/>
      <c r="AA73" s="85"/>
      <c r="AB73" s="85"/>
      <c r="AC73" s="85"/>
      <c r="AD73" s="85"/>
      <c r="AE73" s="85"/>
      <c r="AF73" s="85"/>
      <c r="AG73" s="83">
        <f t="shared" si="17"/>
        <v>27315.359999999986</v>
      </c>
    </row>
    <row r="74" spans="1:33" ht="24.95" customHeight="1">
      <c r="A74" s="85">
        <v>23</v>
      </c>
      <c r="B74" s="92">
        <v>1649100692</v>
      </c>
      <c r="C74" s="109" t="str">
        <f t="shared" si="6"/>
        <v>692</v>
      </c>
      <c r="D74" s="109" t="str">
        <f>MID(B74,2,6)</f>
        <v>649100</v>
      </c>
      <c r="E74" s="93" t="s">
        <v>419</v>
      </c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>
        <f>VLOOKUP(B:B,'[3]תשלומים 2017'!B:R,15,0)</f>
        <v>80000</v>
      </c>
      <c r="Q74" s="95">
        <f>VLOOKUP(B:B,'[3]דוח כספי 10.17 מעודכן'!A:D,4,0)</f>
        <v>61123.63</v>
      </c>
      <c r="R74" s="95">
        <f>VLOOKUP(B:B,'[3]תשלומים 2017'!B:T,17,0)</f>
        <v>80000</v>
      </c>
      <c r="S74" s="95">
        <f>Q74/9*12</f>
        <v>81498.173333333325</v>
      </c>
      <c r="T74" s="95">
        <v>70000</v>
      </c>
      <c r="U74" s="110"/>
      <c r="V74" s="110"/>
      <c r="W74" s="97"/>
      <c r="X74" s="91"/>
      <c r="Y74" s="85"/>
      <c r="Z74" s="98"/>
      <c r="AA74" s="85"/>
      <c r="AB74" s="85"/>
      <c r="AC74" s="85"/>
      <c r="AD74" s="85"/>
      <c r="AE74" s="85"/>
      <c r="AF74" s="85"/>
      <c r="AG74" s="83">
        <f t="shared" si="17"/>
        <v>18876.370000000003</v>
      </c>
    </row>
    <row r="75" spans="1:33" ht="24.95" customHeight="1">
      <c r="A75" s="85">
        <v>23</v>
      </c>
      <c r="B75" s="92">
        <v>1649100693</v>
      </c>
      <c r="C75" s="109" t="str">
        <f t="shared" si="6"/>
        <v>693</v>
      </c>
      <c r="D75" s="109" t="str">
        <f>MID(B75,2,6)</f>
        <v>649100</v>
      </c>
      <c r="E75" s="93" t="s">
        <v>420</v>
      </c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>
        <f>VLOOKUP(B:B,'[3]תשלומים 2017'!B:R,15,0)</f>
        <v>32000</v>
      </c>
      <c r="Q75" s="95">
        <f>VLOOKUP(B:B,'[3]דוח כספי 10.17 מעודכן'!A:D,4,0)</f>
        <v>31833.59</v>
      </c>
      <c r="R75" s="95">
        <f>VLOOKUP(B:B,'[3]תשלומים 2017'!B:T,17,0)</f>
        <v>32000</v>
      </c>
      <c r="S75" s="95">
        <f>Q75/9*12</f>
        <v>42444.786666666667</v>
      </c>
      <c r="T75" s="95">
        <v>32000</v>
      </c>
      <c r="U75" s="110"/>
      <c r="V75" s="110"/>
      <c r="W75" s="97"/>
      <c r="X75" s="91"/>
      <c r="Y75" s="85"/>
      <c r="Z75" s="98"/>
      <c r="AA75" s="85"/>
      <c r="AB75" s="85"/>
      <c r="AC75" s="85"/>
      <c r="AD75" s="85"/>
      <c r="AE75" s="85"/>
      <c r="AF75" s="85"/>
      <c r="AG75" s="83">
        <f t="shared" si="17"/>
        <v>166.40999999999985</v>
      </c>
    </row>
    <row r="76" spans="1:33" s="1" customFormat="1" ht="24.95" customHeight="1">
      <c r="B76" s="28"/>
      <c r="C76" s="29"/>
      <c r="D76" s="29"/>
      <c r="E76" s="29" t="s">
        <v>421</v>
      </c>
      <c r="F76" s="30" t="e">
        <f>SUM(#REF!)</f>
        <v>#REF!</v>
      </c>
      <c r="G76" s="30" t="e">
        <f>SUM(#REF!)</f>
        <v>#REF!</v>
      </c>
      <c r="H76" s="30" t="e">
        <f>SUM(#REF!)</f>
        <v>#REF!</v>
      </c>
      <c r="I76" s="30" t="e">
        <f>SUM(#REF!)</f>
        <v>#REF!</v>
      </c>
      <c r="J76" s="30" t="e">
        <f>SUM(#REF!)</f>
        <v>#REF!</v>
      </c>
      <c r="K76" s="30" t="e">
        <f>SUM(#REF!)</f>
        <v>#REF!</v>
      </c>
      <c r="L76" s="30" t="e">
        <f>SUM(#REF!)</f>
        <v>#REF!</v>
      </c>
      <c r="M76" s="30" t="e">
        <f>SUM(#REF!)</f>
        <v>#REF!</v>
      </c>
      <c r="N76" s="30" t="e">
        <f>SUM(#REF!)</f>
        <v>#REF!</v>
      </c>
      <c r="O76" s="30" t="e">
        <f>SUM(#REF!)</f>
        <v>#REF!</v>
      </c>
      <c r="P76" s="30">
        <f>SUM(P73:P75)</f>
        <v>388000</v>
      </c>
      <c r="Q76" s="30">
        <f>SUM(Q73:Q75)</f>
        <v>341641.86000000004</v>
      </c>
      <c r="R76" s="30">
        <f>SUM(R73:R75)</f>
        <v>388000</v>
      </c>
      <c r="S76" s="30">
        <f t="shared" ref="S76:V76" si="19">SUM(S73:S75)</f>
        <v>455522.48000000004</v>
      </c>
      <c r="T76" s="30">
        <f>SUM(T73:T75)</f>
        <v>386000</v>
      </c>
      <c r="U76" s="31">
        <f t="shared" si="19"/>
        <v>0</v>
      </c>
      <c r="V76" s="31">
        <f t="shared" si="19"/>
        <v>0</v>
      </c>
      <c r="W76" s="22"/>
      <c r="X76" s="23"/>
      <c r="Y76" s="5">
        <f>IF(ISBLANK(B76),1,--OR(L76&gt;1,M76&gt;1,N76&gt;1))</f>
        <v>1</v>
      </c>
      <c r="Z76" s="1">
        <v>0</v>
      </c>
      <c r="AG76" s="1">
        <f t="shared" si="17"/>
        <v>46358.139999999956</v>
      </c>
    </row>
    <row r="77" spans="1:33" s="1" customFormat="1" ht="24.95" customHeight="1">
      <c r="B77" s="121"/>
      <c r="C77" s="122"/>
      <c r="D77" s="122"/>
      <c r="E77" s="33" t="s">
        <v>422</v>
      </c>
      <c r="F77" s="34" t="e">
        <f>F76+F72+F69+F65+F49+#REF!+F45+F25+F20</f>
        <v>#REF!</v>
      </c>
      <c r="G77" s="34" t="e">
        <f>G76+G72+G69+G65+G49+#REF!+G45+G25+G20</f>
        <v>#REF!</v>
      </c>
      <c r="H77" s="34" t="e">
        <f>H76+H72+H69+H65+H49+#REF!+H45+H25+H20</f>
        <v>#REF!</v>
      </c>
      <c r="I77" s="34" t="e">
        <f>I76+I72+I69+I65+I49+#REF!+I45+I25+I20</f>
        <v>#REF!</v>
      </c>
      <c r="J77" s="34" t="e">
        <f>J76+J72+J69+J65+J49+#REF!+J45+J25+J20</f>
        <v>#REF!</v>
      </c>
      <c r="K77" s="34" t="e">
        <f>K76+K72+K69+K65+K49+#REF!+K45+K25+K20</f>
        <v>#REF!</v>
      </c>
      <c r="L77" s="34" t="e">
        <f>L76+L72+L69+L65+L49+#REF!+L45+L25+L20</f>
        <v>#REF!</v>
      </c>
      <c r="M77" s="34" t="e">
        <f>M76+M72+M69+M65+M49+#REF!+M45+M25+M20</f>
        <v>#REF!</v>
      </c>
      <c r="N77" s="34" t="e">
        <f>N76+N72+N69+N65+N49+#REF!+N45+N25+N20</f>
        <v>#REF!</v>
      </c>
      <c r="O77" s="34" t="e">
        <f>O76+O72+O69+O65+O49+#REF!+O45+O25+O20</f>
        <v>#REF!</v>
      </c>
      <c r="P77" s="34">
        <f>P76+P72+P69+P65+P49++P45+P25+P20+P51</f>
        <v>7224000</v>
      </c>
      <c r="Q77" s="34">
        <f>Q76+Q72+Q69+Q65+Q49++Q45+Q25+Q20+Q51</f>
        <v>6182647.8899999997</v>
      </c>
      <c r="R77" s="34">
        <f>R76+R72+R69+R65+R49++R45+R25+R20+R51</f>
        <v>7818000</v>
      </c>
      <c r="S77" s="34">
        <f t="shared" ref="S77" si="20">S76+S72+S69+S65+S49++S45+S25+S20+S51</f>
        <v>7506195.8733333331</v>
      </c>
      <c r="T77" s="34">
        <f>T76+T72+T69+T65+T49++T45+T25+T20+T51</f>
        <v>6408500</v>
      </c>
      <c r="U77" s="123">
        <f>U76+U72+U69+U65+U49++U45+U25+U20+U51</f>
        <v>11.7</v>
      </c>
      <c r="V77" s="123">
        <f>V76+V72+V69+V65+V49++V45+V25+V20+V51</f>
        <v>12.219999999999999</v>
      </c>
      <c r="W77" s="22"/>
      <c r="X77" s="23"/>
      <c r="Y77" s="5">
        <f>IF(ISBLANK(B77),1,--OR(L77&gt;1,M77&gt;1,N77&gt;1))</f>
        <v>1</v>
      </c>
      <c r="Z77" s="1">
        <v>0</v>
      </c>
      <c r="AG77" s="1">
        <f t="shared" si="17"/>
        <v>1041352.1100000003</v>
      </c>
    </row>
    <row r="78" spans="1:33" ht="24.95" customHeight="1">
      <c r="A78" s="85"/>
      <c r="B78" s="86"/>
      <c r="C78" s="87" t="s">
        <v>423</v>
      </c>
      <c r="D78" s="87"/>
      <c r="E78" s="87"/>
      <c r="F78" s="87"/>
      <c r="G78" s="87"/>
      <c r="H78" s="87"/>
      <c r="I78" s="88"/>
      <c r="J78" s="95"/>
      <c r="K78" s="124"/>
      <c r="L78" s="124"/>
      <c r="M78" s="124"/>
      <c r="N78" s="124"/>
      <c r="O78" s="95">
        <v>0</v>
      </c>
      <c r="P78" s="124"/>
      <c r="Q78" s="124" t="e">
        <f>VLOOKUP(B:B,'[3]דוח כספי 10.17 מעודכן'!A:D,4,0)</f>
        <v>#N/A</v>
      </c>
      <c r="R78" s="124"/>
      <c r="S78" s="124"/>
      <c r="T78" s="124"/>
      <c r="U78" s="89"/>
      <c r="V78" s="89"/>
      <c r="W78" s="90"/>
      <c r="X78" s="91"/>
      <c r="Y78" s="85">
        <f>IF(ISBLANK(B78),1,--OR(L78&gt;1,M78&gt;1,N78&gt;1))</f>
        <v>1</v>
      </c>
      <c r="Z78" s="98" t="e">
        <f>+Q78-N78</f>
        <v>#N/A</v>
      </c>
      <c r="AA78" s="85"/>
      <c r="AB78" s="85"/>
      <c r="AC78" s="85"/>
      <c r="AD78" s="85"/>
      <c r="AE78" s="85"/>
      <c r="AF78" s="85"/>
      <c r="AG78" s="83" t="e">
        <f t="shared" si="17"/>
        <v>#N/A</v>
      </c>
    </row>
    <row r="79" spans="1:33" ht="24.95" customHeight="1">
      <c r="A79" s="85">
        <v>15</v>
      </c>
      <c r="B79" s="92">
        <v>1711000540</v>
      </c>
      <c r="C79" s="109" t="str">
        <f t="shared" ref="C79:C124" si="21">MID(B79,8,3)</f>
        <v>540</v>
      </c>
      <c r="D79" s="109" t="str">
        <f t="shared" ref="D79:D89" si="22">MID(B79,2,6)</f>
        <v>711000</v>
      </c>
      <c r="E79" s="93" t="s">
        <v>424</v>
      </c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>
        <f>VLOOKUP(B:B,'[3]תשלומים 2017'!B:R,15,0)</f>
        <v>0</v>
      </c>
      <c r="Q79" s="95">
        <f>VLOOKUP(B:B,'[3]דוח כספי 10.17 מעודכן'!A:D,4,0)</f>
        <v>0</v>
      </c>
      <c r="R79" s="95">
        <f>VLOOKUP(B:B,'[3]תשלומים 2017'!B:T,17,0)</f>
        <v>0</v>
      </c>
      <c r="S79" s="95">
        <v>0</v>
      </c>
      <c r="T79" s="95">
        <v>0</v>
      </c>
      <c r="U79" s="110"/>
      <c r="V79" s="110"/>
      <c r="W79" s="97"/>
      <c r="X79" s="91"/>
      <c r="Y79" s="85"/>
      <c r="Z79" s="98"/>
      <c r="AA79" s="85"/>
      <c r="AB79" s="85"/>
      <c r="AC79" s="85"/>
      <c r="AD79" s="85"/>
      <c r="AE79" s="85"/>
      <c r="AF79" s="85"/>
      <c r="AG79" s="83">
        <f t="shared" si="17"/>
        <v>0</v>
      </c>
    </row>
    <row r="80" spans="1:33" ht="24.95" customHeight="1">
      <c r="A80" s="85">
        <v>16</v>
      </c>
      <c r="B80" s="92">
        <v>1712200110</v>
      </c>
      <c r="C80" s="109" t="str">
        <f t="shared" si="21"/>
        <v>110</v>
      </c>
      <c r="D80" s="109" t="str">
        <f t="shared" si="22"/>
        <v>712200</v>
      </c>
      <c r="E80" s="93" t="s">
        <v>353</v>
      </c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>
        <f>VLOOKUP(B:B,'[3]תשלומים 2017'!B:R,15,0)</f>
        <v>0</v>
      </c>
      <c r="Q80" s="95">
        <f>VLOOKUP(B:B,'[3]דוח כספי 10.17 מעודכן'!A:D,4,0)</f>
        <v>18437.669999999998</v>
      </c>
      <c r="R80" s="95">
        <f>VLOOKUP(B:B,'[3]תשלומים 2017'!B:T,17,0)</f>
        <v>40000</v>
      </c>
      <c r="S80" s="95">
        <f>Q80/9*12</f>
        <v>24583.559999999998</v>
      </c>
      <c r="T80" s="95">
        <v>77000</v>
      </c>
      <c r="U80" s="96">
        <v>0.94</v>
      </c>
      <c r="V80" s="96">
        <v>0.94</v>
      </c>
      <c r="W80" s="97"/>
      <c r="X80" s="91"/>
      <c r="Y80" s="85"/>
      <c r="Z80" s="98"/>
      <c r="AA80" s="85"/>
      <c r="AB80" s="85"/>
      <c r="AC80" s="85"/>
      <c r="AD80" s="85"/>
      <c r="AE80" s="85"/>
      <c r="AF80" s="85"/>
      <c r="AG80"/>
    </row>
    <row r="81" spans="1:36" ht="24.95" customHeight="1">
      <c r="A81" s="85">
        <v>15</v>
      </c>
      <c r="B81" s="92">
        <v>1712200750</v>
      </c>
      <c r="C81" s="109" t="str">
        <f t="shared" si="21"/>
        <v>750</v>
      </c>
      <c r="D81" s="109" t="str">
        <f t="shared" si="22"/>
        <v>712200</v>
      </c>
      <c r="E81" s="93" t="s">
        <v>402</v>
      </c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>
        <f>VLOOKUP(B:B,'[3]תשלומים 2017'!B:R,15,0)</f>
        <v>0</v>
      </c>
      <c r="Q81" s="95">
        <f>VLOOKUP(B:B,'[3]דוח כספי 10.17 מעודכן'!A:D,4,0)</f>
        <v>0</v>
      </c>
      <c r="R81" s="95">
        <f>VLOOKUP(B:B,'[3]תשלומים 2017'!B:T,17,0)</f>
        <v>0</v>
      </c>
      <c r="S81" s="95">
        <v>0</v>
      </c>
      <c r="T81" s="95">
        <v>0</v>
      </c>
      <c r="U81" s="110"/>
      <c r="V81" s="110"/>
      <c r="W81" s="97"/>
      <c r="X81" s="91"/>
      <c r="Y81" s="85"/>
      <c r="Z81" s="98"/>
      <c r="AA81" s="85"/>
      <c r="AB81" s="85"/>
      <c r="AC81" s="85"/>
      <c r="AD81" s="85"/>
      <c r="AE81" s="85"/>
      <c r="AF81" s="85"/>
      <c r="AG81" s="83">
        <f>P81-Q81</f>
        <v>0</v>
      </c>
    </row>
    <row r="82" spans="1:36" ht="24.95" customHeight="1">
      <c r="A82" s="85">
        <v>15</v>
      </c>
      <c r="B82" s="92">
        <v>1712220750</v>
      </c>
      <c r="C82" s="109" t="str">
        <f t="shared" si="21"/>
        <v>750</v>
      </c>
      <c r="D82" s="109" t="str">
        <f t="shared" si="22"/>
        <v>712220</v>
      </c>
      <c r="E82" s="93" t="s">
        <v>425</v>
      </c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>
        <f>VLOOKUP(B:B,'[3]תשלומים 2017'!B:R,15,0)</f>
        <v>1000</v>
      </c>
      <c r="Q82" s="95">
        <f>VLOOKUP(B:B,'[3]דוח כספי 10.17 מעודכן'!A:D,4,0)</f>
        <v>0</v>
      </c>
      <c r="R82" s="95">
        <f>VLOOKUP(B:B,'[3]תשלומים 2017'!B:T,17,0)</f>
        <v>0</v>
      </c>
      <c r="S82" s="95">
        <f>Q82/10*12</f>
        <v>0</v>
      </c>
      <c r="T82" s="95">
        <v>0</v>
      </c>
      <c r="U82" s="110"/>
      <c r="V82" s="110"/>
      <c r="W82" s="97"/>
      <c r="X82" s="91"/>
      <c r="Y82" s="85"/>
      <c r="Z82" s="98"/>
      <c r="AA82" s="85"/>
      <c r="AB82" s="85"/>
      <c r="AC82" s="85"/>
      <c r="AD82" s="85"/>
      <c r="AE82" s="85"/>
      <c r="AF82" s="85"/>
      <c r="AG82" s="83">
        <f>P82-Q82</f>
        <v>1000</v>
      </c>
    </row>
    <row r="83" spans="1:36" ht="24.95" customHeight="1">
      <c r="A83" s="85">
        <v>15</v>
      </c>
      <c r="B83" s="92">
        <v>1712300750</v>
      </c>
      <c r="C83" s="109" t="str">
        <f t="shared" si="21"/>
        <v>750</v>
      </c>
      <c r="D83" s="109" t="str">
        <f t="shared" si="22"/>
        <v>712300</v>
      </c>
      <c r="E83" s="93" t="s">
        <v>426</v>
      </c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>
        <f>VLOOKUP(B:B,'[3]תשלומים 2017'!B:R,15,0)</f>
        <v>3075000</v>
      </c>
      <c r="Q83" s="95">
        <f>VLOOKUP(B:B,'[3]דוח כספי 10.17 מעודכן'!A:D,4,0)</f>
        <v>2599963</v>
      </c>
      <c r="R83" s="95">
        <v>3075000</v>
      </c>
      <c r="S83" s="95">
        <f>Q83/10*12</f>
        <v>3119955.5999999996</v>
      </c>
      <c r="T83" s="95">
        <v>3075000</v>
      </c>
      <c r="U83" s="110"/>
      <c r="V83" s="110"/>
      <c r="W83" s="97"/>
      <c r="X83" s="91"/>
      <c r="Y83" s="85"/>
      <c r="Z83" s="98"/>
      <c r="AA83" s="85"/>
      <c r="AB83" s="85"/>
      <c r="AC83" s="85"/>
      <c r="AD83" s="85"/>
      <c r="AE83" s="85"/>
      <c r="AF83" s="85"/>
      <c r="AG83" s="83">
        <f>P83-Q83</f>
        <v>475037</v>
      </c>
      <c r="AH83">
        <v>463000</v>
      </c>
    </row>
    <row r="84" spans="1:36" ht="24.95" customHeight="1">
      <c r="A84" s="85">
        <v>15</v>
      </c>
      <c r="B84" s="92">
        <v>1712300932</v>
      </c>
      <c r="C84" s="109" t="str">
        <f t="shared" si="21"/>
        <v>932</v>
      </c>
      <c r="D84" s="109" t="str">
        <f t="shared" si="22"/>
        <v>712300</v>
      </c>
      <c r="E84" s="93" t="s">
        <v>427</v>
      </c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>
        <f>VLOOKUP(B:B,'[3]תשלומים 2017'!B:R,15,0)</f>
        <v>4000</v>
      </c>
      <c r="Q84" s="95">
        <f>VLOOKUP(B:B,'[3]דוח כספי 10.17 מעודכן'!A:D,4,0)</f>
        <v>0</v>
      </c>
      <c r="R84" s="95">
        <f>VLOOKUP(B:B,'[3]תשלומים 2017'!B:T,17,0)</f>
        <v>0</v>
      </c>
      <c r="S84" s="95">
        <f>Q84/10*12</f>
        <v>0</v>
      </c>
      <c r="T84" s="95">
        <v>0</v>
      </c>
      <c r="U84" s="110"/>
      <c r="V84" s="110"/>
      <c r="W84" s="97"/>
      <c r="X84" s="91"/>
      <c r="Y84" s="85"/>
      <c r="Z84" s="98"/>
      <c r="AA84" s="85"/>
      <c r="AB84" s="85"/>
      <c r="AC84" s="85"/>
      <c r="AD84" s="85"/>
      <c r="AE84" s="85"/>
      <c r="AF84" s="85"/>
      <c r="AG84" s="83">
        <f>P84-Q84</f>
        <v>4000</v>
      </c>
    </row>
    <row r="85" spans="1:36" ht="24.95" customHeight="1">
      <c r="A85" s="85">
        <v>16</v>
      </c>
      <c r="B85" s="92">
        <v>1713000110</v>
      </c>
      <c r="C85" s="109" t="str">
        <f t="shared" si="21"/>
        <v>110</v>
      </c>
      <c r="D85" s="109" t="str">
        <f t="shared" si="22"/>
        <v>713000</v>
      </c>
      <c r="E85" s="93" t="s">
        <v>428</v>
      </c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>
        <f>VLOOKUP(B:B,'[3]תשלומים 2017'!B:R,15,0)</f>
        <v>119000</v>
      </c>
      <c r="Q85" s="95">
        <f>VLOOKUP(B:B,'[3]דוח כספי 10.17 מעודכן'!A:D,4,0)</f>
        <v>95474.29</v>
      </c>
      <c r="R85" s="95">
        <f>VLOOKUP(B:B,'[3]תשלומים 2017'!B:T,17,0)</f>
        <v>127000</v>
      </c>
      <c r="S85" s="95">
        <f>Q85/9*12</f>
        <v>127299.05333333332</v>
      </c>
      <c r="T85" s="95">
        <v>127000</v>
      </c>
      <c r="U85" s="96">
        <v>1</v>
      </c>
      <c r="V85" s="96">
        <v>1</v>
      </c>
      <c r="W85" s="97"/>
      <c r="X85" s="91"/>
      <c r="Y85" s="85"/>
      <c r="Z85" s="98"/>
      <c r="AA85" s="85"/>
      <c r="AB85" s="85"/>
      <c r="AC85" s="85"/>
      <c r="AD85" s="85"/>
      <c r="AE85" s="85"/>
      <c r="AF85" s="85"/>
      <c r="AG85"/>
    </row>
    <row r="86" spans="1:36" ht="24.95" customHeight="1">
      <c r="A86" s="85">
        <v>15</v>
      </c>
      <c r="B86" s="92">
        <v>1713100830</v>
      </c>
      <c r="C86" s="109" t="str">
        <f t="shared" si="21"/>
        <v>830</v>
      </c>
      <c r="D86" s="109" t="str">
        <f t="shared" si="22"/>
        <v>713100</v>
      </c>
      <c r="E86" s="93" t="s">
        <v>429</v>
      </c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>
        <f>VLOOKUP(B:B,'[3]תשלומים 2017'!B:R,15,0)</f>
        <v>40000</v>
      </c>
      <c r="Q86" s="95">
        <f>VLOOKUP(B:B,'[3]דוח כספי 10.17 מעודכן'!A:D,4,0)</f>
        <v>22144</v>
      </c>
      <c r="R86" s="95">
        <f>VLOOKUP(B:B,'[3]תשלומים 2017'!B:T,17,0)</f>
        <v>40000</v>
      </c>
      <c r="S86" s="95">
        <f>Q86/10*12</f>
        <v>26572.800000000003</v>
      </c>
      <c r="T86" s="95">
        <v>27000</v>
      </c>
      <c r="U86" s="110"/>
      <c r="V86" s="110"/>
      <c r="W86" s="97"/>
      <c r="X86" s="91"/>
      <c r="Y86" s="85"/>
      <c r="Z86" s="98"/>
      <c r="AA86" s="85"/>
      <c r="AB86" s="85"/>
      <c r="AC86" s="85"/>
      <c r="AD86" s="85"/>
      <c r="AE86" s="85"/>
      <c r="AF86" s="85"/>
      <c r="AG86" s="83">
        <f t="shared" ref="AG86:AG94" si="23">P86-Q86</f>
        <v>17856</v>
      </c>
    </row>
    <row r="87" spans="1:36" ht="24.95" customHeight="1">
      <c r="A87" s="85">
        <v>15</v>
      </c>
      <c r="B87" s="92">
        <v>1714200830</v>
      </c>
      <c r="C87" s="109" t="str">
        <f t="shared" si="21"/>
        <v>830</v>
      </c>
      <c r="D87" s="109" t="str">
        <f t="shared" si="22"/>
        <v>714200</v>
      </c>
      <c r="E87" s="93" t="s">
        <v>430</v>
      </c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>
        <f>VLOOKUP(B:B,'[3]תשלומים 2017'!B:R,15,0)</f>
        <v>80000</v>
      </c>
      <c r="Q87" s="95">
        <f>VLOOKUP(B:B,'[3]דוח כספי 10.17 מעודכן'!A:D,4,0)</f>
        <v>100968.5</v>
      </c>
      <c r="R87" s="95">
        <f>VLOOKUP(B:B,'[3]תשלומים 2017'!B:T,17,0)</f>
        <v>80000</v>
      </c>
      <c r="S87" s="95">
        <f>Q87/10*12</f>
        <v>121162.20000000001</v>
      </c>
      <c r="T87" s="95">
        <v>121000</v>
      </c>
      <c r="U87" s="110"/>
      <c r="V87" s="110"/>
      <c r="W87" s="97"/>
      <c r="X87" s="91"/>
      <c r="Y87" s="85"/>
      <c r="Z87" s="98"/>
      <c r="AA87" s="85"/>
      <c r="AB87" s="85"/>
      <c r="AC87" s="85"/>
      <c r="AD87" s="85"/>
      <c r="AE87" s="85"/>
      <c r="AF87" s="85"/>
      <c r="AG87" s="83">
        <f t="shared" si="23"/>
        <v>-20968.5</v>
      </c>
    </row>
    <row r="88" spans="1:36" ht="24.95" customHeight="1">
      <c r="A88" s="85">
        <v>15</v>
      </c>
      <c r="B88" s="92">
        <v>1715000720</v>
      </c>
      <c r="C88" s="109" t="str">
        <f t="shared" si="21"/>
        <v>720</v>
      </c>
      <c r="D88" s="109" t="str">
        <f t="shared" si="22"/>
        <v>715000</v>
      </c>
      <c r="E88" s="93" t="s">
        <v>431</v>
      </c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>
        <f>VLOOKUP(B:B,'[3]תשלומים 2017'!B:R,15,0)</f>
        <v>5000</v>
      </c>
      <c r="Q88" s="95">
        <f>VLOOKUP(B:B,'[3]דוח כספי 10.17 מעודכן'!A:D,4,0)</f>
        <v>3907.8</v>
      </c>
      <c r="R88" s="95">
        <f>VLOOKUP(B:B,'[3]תשלומים 2017'!B:T,17,0)</f>
        <v>5000</v>
      </c>
      <c r="S88" s="95">
        <f>Q88/10*12</f>
        <v>4689.3600000000006</v>
      </c>
      <c r="T88" s="95">
        <v>5000</v>
      </c>
      <c r="U88" s="110"/>
      <c r="V88" s="110"/>
      <c r="W88" s="97"/>
      <c r="X88" s="91"/>
      <c r="Y88" s="85"/>
      <c r="Z88" s="98"/>
      <c r="AA88" s="85"/>
      <c r="AB88" s="85"/>
      <c r="AC88" s="85"/>
      <c r="AD88" s="85"/>
      <c r="AE88" s="85"/>
      <c r="AF88" s="85"/>
      <c r="AG88" s="83">
        <f t="shared" si="23"/>
        <v>1092.1999999999998</v>
      </c>
    </row>
    <row r="89" spans="1:36" s="108" customFormat="1" ht="24.95" customHeight="1">
      <c r="A89" s="99">
        <v>15</v>
      </c>
      <c r="B89" s="100">
        <v>1715000840</v>
      </c>
      <c r="C89" s="101" t="str">
        <f t="shared" si="21"/>
        <v>840</v>
      </c>
      <c r="D89" s="101" t="str">
        <f t="shared" si="22"/>
        <v>715000</v>
      </c>
      <c r="E89" s="102" t="s">
        <v>432</v>
      </c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>
        <f>VLOOKUP(B:B,'[3]תשלומים 2017'!B:R,15,0)</f>
        <v>94000</v>
      </c>
      <c r="Q89" s="103">
        <f>VLOOKUP(B:B,'[3]דוח כספי 10.17 מעודכן'!A:D,4,0)</f>
        <v>0</v>
      </c>
      <c r="R89" s="103">
        <f>VLOOKUP(B:B,'[3]תשלומים 2017'!B:T,17,0)</f>
        <v>94000</v>
      </c>
      <c r="S89" s="103">
        <f>Q89/10*12</f>
        <v>0</v>
      </c>
      <c r="T89" s="103">
        <v>0</v>
      </c>
      <c r="U89" s="104"/>
      <c r="V89" s="104"/>
      <c r="W89" s="105"/>
      <c r="X89" s="106"/>
      <c r="Y89" s="99"/>
      <c r="Z89" s="107"/>
      <c r="AA89" s="99"/>
      <c r="AB89" s="99"/>
      <c r="AC89" s="99"/>
      <c r="AD89" s="99"/>
      <c r="AE89" s="99"/>
      <c r="AF89" s="99"/>
      <c r="AG89" s="115">
        <f t="shared" si="23"/>
        <v>94000</v>
      </c>
    </row>
    <row r="90" spans="1:36" s="1" customFormat="1" ht="24.95" customHeight="1">
      <c r="B90" s="28"/>
      <c r="C90" s="29"/>
      <c r="D90" s="29"/>
      <c r="E90" s="29" t="s">
        <v>433</v>
      </c>
      <c r="F90" s="30" t="e">
        <f>SUM(#REF!)</f>
        <v>#REF!</v>
      </c>
      <c r="G90" s="30" t="e">
        <f>SUM(#REF!)</f>
        <v>#REF!</v>
      </c>
      <c r="H90" s="30" t="e">
        <f>SUM(#REF!)</f>
        <v>#REF!</v>
      </c>
      <c r="I90" s="30" t="e">
        <f>SUM(#REF!)</f>
        <v>#REF!</v>
      </c>
      <c r="J90" s="30" t="e">
        <f>SUM(#REF!)</f>
        <v>#REF!</v>
      </c>
      <c r="K90" s="30" t="e">
        <f>SUM(#REF!)</f>
        <v>#REF!</v>
      </c>
      <c r="L90" s="30" t="e">
        <f>SUM(#REF!)</f>
        <v>#REF!</v>
      </c>
      <c r="M90" s="30" t="e">
        <f>SUM(#REF!)</f>
        <v>#REF!</v>
      </c>
      <c r="N90" s="30" t="e">
        <f>SUM(#REF!)</f>
        <v>#REF!</v>
      </c>
      <c r="O90" s="30" t="e">
        <f>SUM(#REF!)</f>
        <v>#REF!</v>
      </c>
      <c r="P90" s="30">
        <f t="shared" ref="P90:S90" si="24">SUM(P79:P89)</f>
        <v>3418000</v>
      </c>
      <c r="Q90" s="30">
        <f t="shared" si="24"/>
        <v>2840895.26</v>
      </c>
      <c r="R90" s="30">
        <f t="shared" si="24"/>
        <v>3461000</v>
      </c>
      <c r="S90" s="30">
        <f t="shared" si="24"/>
        <v>3424262.5733333328</v>
      </c>
      <c r="T90" s="30">
        <f>SUM(T79:T89)</f>
        <v>3432000</v>
      </c>
      <c r="U90" s="31">
        <f>SUM(U79:U89)</f>
        <v>1.94</v>
      </c>
      <c r="V90" s="31">
        <f>SUM(V79:V89)</f>
        <v>1.94</v>
      </c>
      <c r="W90" s="22"/>
      <c r="X90" s="23"/>
      <c r="Y90" s="5">
        <f>IF(ISBLANK(B90),1,--OR(L90&gt;1,M90&gt;1,N90&gt;1))</f>
        <v>1</v>
      </c>
      <c r="Z90" s="1">
        <v>0</v>
      </c>
      <c r="AG90" s="1">
        <f t="shared" si="23"/>
        <v>577104.74000000022</v>
      </c>
    </row>
    <row r="91" spans="1:36" ht="24.95" customHeight="1">
      <c r="A91" s="85">
        <v>15</v>
      </c>
      <c r="B91" s="92">
        <v>1722000930</v>
      </c>
      <c r="C91" s="109" t="str">
        <f t="shared" si="21"/>
        <v>930</v>
      </c>
      <c r="D91" s="109" t="str">
        <f>MID(B91,2,6)</f>
        <v>722000</v>
      </c>
      <c r="E91" s="93" t="s">
        <v>434</v>
      </c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>
        <f>VLOOKUP(B:B,'[3]תשלומים 2017'!B:R,15,0)</f>
        <v>11000</v>
      </c>
      <c r="Q91" s="95">
        <f>VLOOKUP(B:B,'[3]דוח כספי 10.17 מעודכן'!A:D,4,0)</f>
        <v>-1643.85</v>
      </c>
      <c r="R91" s="95">
        <f>VLOOKUP(B:B,'[3]תשלומים 2017'!B:T,17,0)</f>
        <v>0</v>
      </c>
      <c r="S91" s="95">
        <v>0</v>
      </c>
      <c r="T91" s="95">
        <v>0</v>
      </c>
      <c r="U91" s="110"/>
      <c r="V91" s="110"/>
      <c r="W91" s="97"/>
      <c r="X91" s="91"/>
      <c r="Y91" s="85"/>
      <c r="Z91" s="98"/>
      <c r="AA91" s="85"/>
      <c r="AB91" s="85"/>
      <c r="AC91" s="85"/>
      <c r="AD91" s="85"/>
      <c r="AE91" s="85"/>
      <c r="AF91" s="85"/>
      <c r="AG91" s="83">
        <f t="shared" si="23"/>
        <v>12643.85</v>
      </c>
    </row>
    <row r="92" spans="1:36" s="108" customFormat="1" ht="24.95" customHeight="1">
      <c r="A92" s="99">
        <v>15</v>
      </c>
      <c r="B92" s="100">
        <v>1724000591</v>
      </c>
      <c r="C92" s="101" t="str">
        <f t="shared" si="21"/>
        <v>591</v>
      </c>
      <c r="D92" s="101" t="str">
        <f>MID(B92,2,6)</f>
        <v>724000</v>
      </c>
      <c r="E92" s="102" t="s">
        <v>435</v>
      </c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>
        <f>VLOOKUP(B:B,'[3]תשלומים 2017'!B:R,15,0)</f>
        <v>0</v>
      </c>
      <c r="Q92" s="103">
        <f>VLOOKUP(B:B,'[3]דוח כספי 10.17 מעודכן'!A:D,4,0)</f>
        <v>0</v>
      </c>
      <c r="R92" s="103">
        <f>VLOOKUP(B:B,'[3]תשלומים 2017'!B:T,17,0)</f>
        <v>36000</v>
      </c>
      <c r="S92" s="103">
        <f>Q92/10*12</f>
        <v>0</v>
      </c>
      <c r="T92" s="103">
        <v>128000</v>
      </c>
      <c r="U92" s="104"/>
      <c r="V92" s="104"/>
      <c r="W92" s="105"/>
      <c r="X92" s="106"/>
      <c r="Y92" s="99"/>
      <c r="Z92" s="107"/>
      <c r="AA92" s="99"/>
      <c r="AB92" s="99"/>
      <c r="AC92" s="99"/>
      <c r="AD92" s="99"/>
      <c r="AE92" s="99"/>
      <c r="AF92" s="99"/>
      <c r="AG92" s="115">
        <f t="shared" si="23"/>
        <v>0</v>
      </c>
      <c r="AJ92" s="125"/>
    </row>
    <row r="93" spans="1:36" s="108" customFormat="1" ht="24.95" customHeight="1">
      <c r="A93" s="99">
        <v>15</v>
      </c>
      <c r="B93" s="100">
        <v>1724000810</v>
      </c>
      <c r="C93" s="101" t="str">
        <f t="shared" si="21"/>
        <v>810</v>
      </c>
      <c r="D93" s="101" t="str">
        <f>MID(B93,2,6)</f>
        <v>724000</v>
      </c>
      <c r="E93" s="102" t="s">
        <v>435</v>
      </c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>
        <f>VLOOKUP(B:B,'[3]תשלומים 2017'!B:R,15,0)</f>
        <v>107000</v>
      </c>
      <c r="Q93" s="103">
        <f>VLOOKUP(B:B,'[3]דוח כספי 10.17 מעודכן'!A:D,4,0)</f>
        <v>164500.5</v>
      </c>
      <c r="R93" s="103">
        <f>VLOOKUP(B:B,'[3]תשלומים 2017'!B:T,17,0)</f>
        <v>128000</v>
      </c>
      <c r="S93" s="103">
        <f>Q93/10*12</f>
        <v>197400.59999999998</v>
      </c>
      <c r="T93" s="103">
        <v>0</v>
      </c>
      <c r="U93" s="104"/>
      <c r="V93" s="104"/>
      <c r="W93" s="105"/>
      <c r="X93" s="106"/>
      <c r="Y93" s="99"/>
      <c r="Z93" s="107"/>
      <c r="AA93" s="99"/>
      <c r="AB93" s="99"/>
      <c r="AC93" s="99"/>
      <c r="AD93" s="99"/>
      <c r="AE93" s="99"/>
      <c r="AF93" s="99"/>
      <c r="AG93" s="115">
        <f t="shared" si="23"/>
        <v>-57500.5</v>
      </c>
    </row>
    <row r="94" spans="1:36" s="1" customFormat="1" ht="24.95" customHeight="1">
      <c r="B94" s="28"/>
      <c r="C94" s="29"/>
      <c r="D94" s="29"/>
      <c r="E94" s="29" t="s">
        <v>436</v>
      </c>
      <c r="F94" s="30" t="e">
        <f>SUM(#REF!)</f>
        <v>#REF!</v>
      </c>
      <c r="G94" s="30" t="e">
        <f>SUM(#REF!)</f>
        <v>#REF!</v>
      </c>
      <c r="H94" s="30" t="e">
        <f>SUM(#REF!)</f>
        <v>#REF!</v>
      </c>
      <c r="I94" s="30" t="e">
        <f>SUM(#REF!)</f>
        <v>#REF!</v>
      </c>
      <c r="J94" s="30" t="e">
        <f>SUM(#REF!)</f>
        <v>#REF!</v>
      </c>
      <c r="K94" s="30" t="e">
        <f>SUM(#REF!)</f>
        <v>#REF!</v>
      </c>
      <c r="L94" s="30" t="e">
        <f>SUM(#REF!)</f>
        <v>#REF!</v>
      </c>
      <c r="M94" s="30" t="e">
        <f>SUM(#REF!)</f>
        <v>#REF!</v>
      </c>
      <c r="N94" s="30" t="e">
        <f>SUM(#REF!)</f>
        <v>#REF!</v>
      </c>
      <c r="O94" s="30" t="e">
        <f>SUM(#REF!)</f>
        <v>#REF!</v>
      </c>
      <c r="P94" s="30">
        <f t="shared" ref="P94:S94" si="25">SUM(P91:P93)</f>
        <v>118000</v>
      </c>
      <c r="Q94" s="30">
        <f t="shared" si="25"/>
        <v>162856.65</v>
      </c>
      <c r="R94" s="30">
        <f t="shared" si="25"/>
        <v>164000</v>
      </c>
      <c r="S94" s="30">
        <f t="shared" si="25"/>
        <v>197400.59999999998</v>
      </c>
      <c r="T94" s="30">
        <f>SUM(T91:T93)</f>
        <v>128000</v>
      </c>
      <c r="U94" s="31">
        <f t="shared" ref="U94:V94" si="26">SUM(U91:U93)</f>
        <v>0</v>
      </c>
      <c r="V94" s="31">
        <f t="shared" si="26"/>
        <v>0</v>
      </c>
      <c r="W94" s="22" t="e">
        <f>SUM(#REF!)</f>
        <v>#REF!</v>
      </c>
      <c r="X94" s="23" t="e">
        <f>SUM(#REF!)</f>
        <v>#REF!</v>
      </c>
      <c r="Y94" s="5">
        <f>IF(ISBLANK(B94),1,--OR(L94&gt;1,M94&gt;1,N94&gt;1))</f>
        <v>1</v>
      </c>
      <c r="Z94" s="1">
        <v>0</v>
      </c>
      <c r="AG94" s="1">
        <f t="shared" si="23"/>
        <v>-44856.649999999994</v>
      </c>
    </row>
    <row r="95" spans="1:36" ht="24.95" customHeight="1">
      <c r="A95" s="85">
        <v>16</v>
      </c>
      <c r="B95" s="92">
        <v>1731000110</v>
      </c>
      <c r="C95" s="109" t="str">
        <f t="shared" si="21"/>
        <v>110</v>
      </c>
      <c r="D95" s="109" t="str">
        <f t="shared" ref="D95:D102" si="27">MID(B95,2,6)</f>
        <v>731000</v>
      </c>
      <c r="E95" s="93" t="s">
        <v>437</v>
      </c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>
        <f>VLOOKUP(B:B,'[3]תשלומים 2017'!B:R,15,0)</f>
        <v>463000</v>
      </c>
      <c r="Q95" s="95">
        <f>VLOOKUP(B:B,'[3]דוח כספי 10.17 מעודכן'!A:D,4,0)</f>
        <v>208223.21</v>
      </c>
      <c r="R95" s="95">
        <f>VLOOKUP(B:B,'[3]תשלומים 2017'!B:T,17,0)</f>
        <v>250000</v>
      </c>
      <c r="S95" s="95">
        <f>Q95/9*12</f>
        <v>277630.94666666666</v>
      </c>
      <c r="T95" s="126">
        <v>450000</v>
      </c>
      <c r="U95" s="96">
        <v>0</v>
      </c>
      <c r="V95" s="96">
        <v>1</v>
      </c>
      <c r="W95" s="97"/>
      <c r="X95" s="91"/>
      <c r="Y95" s="85"/>
      <c r="Z95" s="98"/>
      <c r="AA95" s="85"/>
      <c r="AB95" s="85"/>
      <c r="AC95" s="85"/>
      <c r="AD95" s="85"/>
      <c r="AE95" s="85"/>
      <c r="AF95" s="85"/>
      <c r="AG95"/>
      <c r="AI95" t="s">
        <v>365</v>
      </c>
    </row>
    <row r="96" spans="1:36" ht="24.95" customHeight="1">
      <c r="A96" s="85">
        <v>15</v>
      </c>
      <c r="B96" s="92">
        <v>1731000540</v>
      </c>
      <c r="C96" s="109" t="str">
        <f t="shared" si="21"/>
        <v>540</v>
      </c>
      <c r="D96" s="109" t="str">
        <f t="shared" si="27"/>
        <v>731000</v>
      </c>
      <c r="E96" s="93" t="s">
        <v>438</v>
      </c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>
        <f>VLOOKUP(B:B,'[3]תשלומים 2017'!B:R,15,0)</f>
        <v>3000</v>
      </c>
      <c r="Q96" s="95">
        <f>VLOOKUP(B:B,'[3]דוח כספי 10.17 מעודכן'!A:D,4,0)</f>
        <v>0</v>
      </c>
      <c r="R96" s="95">
        <f>VLOOKUP(B:B,'[3]תשלומים 2017'!B:T,17,0)</f>
        <v>0</v>
      </c>
      <c r="S96" s="95">
        <f>Q96/10*12</f>
        <v>0</v>
      </c>
      <c r="T96" s="95">
        <v>0</v>
      </c>
      <c r="U96" s="110"/>
      <c r="V96" s="110"/>
      <c r="W96" s="97"/>
      <c r="X96" s="91"/>
      <c r="Y96" s="85"/>
      <c r="Z96" s="98"/>
      <c r="AA96" s="85"/>
      <c r="AB96" s="85"/>
      <c r="AC96" s="85"/>
      <c r="AD96" s="85"/>
      <c r="AE96" s="85"/>
      <c r="AF96" s="85"/>
      <c r="AG96" s="83">
        <f>P96-Q96</f>
        <v>3000</v>
      </c>
    </row>
    <row r="97" spans="1:34" ht="24.95" customHeight="1">
      <c r="A97" s="85">
        <v>15</v>
      </c>
      <c r="B97" s="92">
        <v>1731000750</v>
      </c>
      <c r="C97" s="109" t="str">
        <f t="shared" si="21"/>
        <v>750</v>
      </c>
      <c r="D97" s="109" t="str">
        <f t="shared" si="27"/>
        <v>731000</v>
      </c>
      <c r="E97" s="93" t="s">
        <v>439</v>
      </c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>
        <f>VLOOKUP(B:B,'[3]תשלומים 2017'!B:R,15,0)</f>
        <v>8000</v>
      </c>
      <c r="Q97" s="95">
        <f>VLOOKUP(B:B,'[3]דוח כספי 10.17 מעודכן'!A:D,4,0)</f>
        <v>2925</v>
      </c>
      <c r="R97" s="95">
        <f>VLOOKUP(B:B,'[3]תשלומים 2017'!B:T,17,0)</f>
        <v>4000</v>
      </c>
      <c r="S97" s="95">
        <f>Q97/10*12</f>
        <v>3510</v>
      </c>
      <c r="T97" s="95">
        <v>4000</v>
      </c>
      <c r="U97" s="110"/>
      <c r="V97" s="110"/>
      <c r="W97" s="97"/>
      <c r="X97" s="91"/>
      <c r="Y97" s="85"/>
      <c r="Z97" s="98"/>
      <c r="AA97" s="85"/>
      <c r="AB97" s="85"/>
      <c r="AC97" s="85"/>
      <c r="AD97" s="85"/>
      <c r="AE97" s="85"/>
      <c r="AF97" s="85"/>
      <c r="AG97" s="83">
        <f>P97-Q97</f>
        <v>5075</v>
      </c>
    </row>
    <row r="98" spans="1:34" ht="24.95" customHeight="1">
      <c r="A98" s="85">
        <v>16</v>
      </c>
      <c r="B98" s="92">
        <v>1732000110</v>
      </c>
      <c r="C98" s="109" t="str">
        <f t="shared" si="21"/>
        <v>110</v>
      </c>
      <c r="D98" s="109" t="str">
        <f t="shared" si="27"/>
        <v>732000</v>
      </c>
      <c r="E98" s="93" t="s">
        <v>440</v>
      </c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>
        <f>VLOOKUP(B:B,'[3]תשלומים 2017'!B:R,15,0)</f>
        <v>0</v>
      </c>
      <c r="Q98" s="95">
        <f>VLOOKUP(B:B,'[3]דוח כספי 10.17 מעודכן'!A:D,4,0)</f>
        <v>0</v>
      </c>
      <c r="R98" s="95">
        <f>VLOOKUP(B:B,'[3]תשלומים 2017'!B:T,17,0)</f>
        <v>0</v>
      </c>
      <c r="S98" s="95">
        <f>Q98/9*12</f>
        <v>0</v>
      </c>
      <c r="T98" s="95">
        <v>0</v>
      </c>
      <c r="U98" s="96"/>
      <c r="V98" s="96"/>
      <c r="W98" s="97"/>
      <c r="X98" s="91"/>
      <c r="Y98" s="85"/>
      <c r="Z98" s="98"/>
      <c r="AA98" s="85"/>
      <c r="AB98" s="85"/>
      <c r="AC98" s="85"/>
      <c r="AD98" s="85"/>
      <c r="AE98" s="85"/>
      <c r="AF98" s="85"/>
      <c r="AG98"/>
    </row>
    <row r="99" spans="1:34" ht="24.95" customHeight="1">
      <c r="A99" s="85">
        <v>15</v>
      </c>
      <c r="B99" s="92">
        <v>1732000540</v>
      </c>
      <c r="C99" s="109" t="str">
        <f t="shared" si="21"/>
        <v>540</v>
      </c>
      <c r="D99" s="109" t="str">
        <f t="shared" si="27"/>
        <v>732000</v>
      </c>
      <c r="E99" s="93" t="s">
        <v>441</v>
      </c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>
        <f>VLOOKUP(B:B,'[3]תשלומים 2017'!B:R,15,0)</f>
        <v>0</v>
      </c>
      <c r="Q99" s="95">
        <f>VLOOKUP(B:B,'[3]דוח כספי 10.17 מעודכן'!A:D,4,0)</f>
        <v>0</v>
      </c>
      <c r="R99" s="95">
        <f>VLOOKUP(B:B,'[3]תשלומים 2017'!B:T,17,0)</f>
        <v>0</v>
      </c>
      <c r="S99" s="95">
        <f>Q99/10*12</f>
        <v>0</v>
      </c>
      <c r="T99" s="95">
        <v>0</v>
      </c>
      <c r="U99" s="110"/>
      <c r="V99" s="110"/>
      <c r="W99" s="97"/>
      <c r="X99" s="91"/>
      <c r="Y99" s="85"/>
      <c r="Z99" s="98"/>
      <c r="AA99" s="85"/>
      <c r="AB99" s="85"/>
      <c r="AC99" s="85"/>
      <c r="AD99" s="85"/>
      <c r="AE99" s="85"/>
      <c r="AF99" s="85"/>
      <c r="AG99" s="83">
        <f t="shared" ref="AG99:AG107" si="28">P99-Q99</f>
        <v>0</v>
      </c>
    </row>
    <row r="100" spans="1:34" ht="24.95" customHeight="1">
      <c r="A100" s="85">
        <v>15</v>
      </c>
      <c r="B100" s="92">
        <v>1732000950</v>
      </c>
      <c r="C100" s="109" t="str">
        <f t="shared" si="21"/>
        <v>950</v>
      </c>
      <c r="D100" s="109" t="str">
        <f t="shared" si="27"/>
        <v>732000</v>
      </c>
      <c r="E100" s="93" t="s">
        <v>442</v>
      </c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>
        <f>VLOOKUP(B:B,'[3]תשלומים 2017'!B:R,15,0)</f>
        <v>67000</v>
      </c>
      <c r="Q100" s="95">
        <f>VLOOKUP(B:B,'[3]דוח כספי 10.17 מעודכן'!A:D,4,0)</f>
        <v>772.2</v>
      </c>
      <c r="R100" s="95">
        <f>VLOOKUP(B:B,'[3]תשלומים 2017'!B:T,17,0)</f>
        <v>67000</v>
      </c>
      <c r="S100" s="95">
        <f>Q100/10*12</f>
        <v>926.64</v>
      </c>
      <c r="T100" s="95">
        <v>10000</v>
      </c>
      <c r="U100" s="110"/>
      <c r="V100" s="110"/>
      <c r="W100" s="97"/>
      <c r="X100" s="91"/>
      <c r="Y100" s="85"/>
      <c r="Z100" s="98"/>
      <c r="AA100" s="85"/>
      <c r="AB100" s="85"/>
      <c r="AC100" s="85"/>
      <c r="AD100" s="85"/>
      <c r="AE100" s="85"/>
      <c r="AF100" s="85"/>
      <c r="AG100" s="83">
        <f t="shared" si="28"/>
        <v>66227.8</v>
      </c>
    </row>
    <row r="101" spans="1:34" ht="24.95" customHeight="1">
      <c r="A101" s="85">
        <v>15</v>
      </c>
      <c r="B101" s="92">
        <v>1732300750</v>
      </c>
      <c r="C101" s="109" t="str">
        <f t="shared" si="21"/>
        <v>750</v>
      </c>
      <c r="D101" s="109" t="str">
        <f t="shared" si="27"/>
        <v>732300</v>
      </c>
      <c r="E101" s="93" t="s">
        <v>443</v>
      </c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>
        <f>VLOOKUP(B:B,'[3]תשלומים 2017'!B:R,15,0)</f>
        <v>29000</v>
      </c>
      <c r="Q101" s="95">
        <f>VLOOKUP(B:B,'[3]דוח כספי 10.17 מעודכן'!A:D,4,0)</f>
        <v>48.48</v>
      </c>
      <c r="R101" s="95">
        <f>VLOOKUP(B:B,'[3]תשלומים 2017'!B:T,17,0)</f>
        <v>29000</v>
      </c>
      <c r="S101" s="95">
        <f>Q101/10*12</f>
        <v>58.176000000000002</v>
      </c>
      <c r="T101" s="95">
        <v>29000</v>
      </c>
      <c r="U101" s="110"/>
      <c r="V101" s="110"/>
      <c r="W101" s="97"/>
      <c r="X101" s="91"/>
      <c r="Y101" s="85"/>
      <c r="Z101" s="98"/>
      <c r="AA101" s="85"/>
      <c r="AB101" s="85"/>
      <c r="AC101" s="85"/>
      <c r="AD101" s="85"/>
      <c r="AE101" s="85"/>
      <c r="AF101" s="85"/>
      <c r="AG101" s="83">
        <f t="shared" si="28"/>
        <v>28951.52</v>
      </c>
    </row>
    <row r="102" spans="1:34" ht="24.95" customHeight="1">
      <c r="A102" s="85">
        <v>15</v>
      </c>
      <c r="B102" s="92">
        <v>1732400750</v>
      </c>
      <c r="C102" s="109" t="str">
        <f t="shared" si="21"/>
        <v>750</v>
      </c>
      <c r="D102" s="109" t="str">
        <f t="shared" si="27"/>
        <v>732400</v>
      </c>
      <c r="E102" s="93" t="s">
        <v>444</v>
      </c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>
        <f>VLOOKUP(B:B,'[3]תשלומים 2017'!B:R,15,0)</f>
        <v>0</v>
      </c>
      <c r="Q102" s="95">
        <f>VLOOKUP(B:B,'[3]דוח כספי 10.17 מעודכן'!A:D,4,0)</f>
        <v>0</v>
      </c>
      <c r="R102" s="95">
        <f>VLOOKUP(B:B,'[3]תשלומים 2017'!B:T,17,0)</f>
        <v>0</v>
      </c>
      <c r="S102" s="95">
        <f>Q102/10*12</f>
        <v>0</v>
      </c>
      <c r="T102" s="95">
        <v>0</v>
      </c>
      <c r="U102" s="110"/>
      <c r="V102" s="110"/>
      <c r="W102" s="97"/>
      <c r="X102" s="91"/>
      <c r="Y102" s="85"/>
      <c r="Z102" s="98"/>
      <c r="AA102" s="85"/>
      <c r="AB102" s="85"/>
      <c r="AC102" s="85"/>
      <c r="AD102" s="85"/>
      <c r="AE102" s="85"/>
      <c r="AF102" s="85"/>
      <c r="AG102" s="83">
        <f t="shared" si="28"/>
        <v>0</v>
      </c>
    </row>
    <row r="103" spans="1:34" s="1" customFormat="1" ht="24.95" customHeight="1">
      <c r="B103" s="28"/>
      <c r="C103" s="29"/>
      <c r="D103" s="29"/>
      <c r="E103" s="29" t="s">
        <v>445</v>
      </c>
      <c r="F103" s="30" t="e">
        <f>SUM(#REF!)</f>
        <v>#REF!</v>
      </c>
      <c r="G103" s="30" t="e">
        <f>SUM(#REF!)</f>
        <v>#REF!</v>
      </c>
      <c r="H103" s="30" t="e">
        <f>SUM(#REF!)</f>
        <v>#REF!</v>
      </c>
      <c r="I103" s="30" t="e">
        <f>SUM(#REF!)</f>
        <v>#REF!</v>
      </c>
      <c r="J103" s="30" t="e">
        <f>SUM(#REF!)</f>
        <v>#REF!</v>
      </c>
      <c r="K103" s="30" t="e">
        <f>SUM(#REF!)</f>
        <v>#REF!</v>
      </c>
      <c r="L103" s="30" t="e">
        <f>SUM(#REF!)</f>
        <v>#REF!</v>
      </c>
      <c r="M103" s="30" t="e">
        <f>SUM(#REF!)</f>
        <v>#REF!</v>
      </c>
      <c r="N103" s="30" t="e">
        <f>SUM(#REF!)</f>
        <v>#REF!</v>
      </c>
      <c r="O103" s="30" t="e">
        <f>SUM(#REF!)</f>
        <v>#REF!</v>
      </c>
      <c r="P103" s="30">
        <f t="shared" ref="P103:S103" si="29">SUM(P95:P102)</f>
        <v>570000</v>
      </c>
      <c r="Q103" s="30">
        <f t="shared" si="29"/>
        <v>211968.89</v>
      </c>
      <c r="R103" s="30">
        <f t="shared" si="29"/>
        <v>350000</v>
      </c>
      <c r="S103" s="30">
        <f t="shared" si="29"/>
        <v>282125.76266666665</v>
      </c>
      <c r="T103" s="30">
        <f>SUM(T95:T102)</f>
        <v>493000</v>
      </c>
      <c r="U103" s="31">
        <f>SUM(U95:U102)</f>
        <v>0</v>
      </c>
      <c r="V103" s="31">
        <f>SUM(V95:V102)</f>
        <v>1</v>
      </c>
      <c r="W103" s="22"/>
      <c r="X103" s="23"/>
      <c r="Y103" s="5">
        <f>IF(ISBLANK(B103),1,--OR(L103&gt;1,M103&gt;1,N103&gt;1))</f>
        <v>1</v>
      </c>
      <c r="Z103" s="1">
        <v>0</v>
      </c>
      <c r="AG103" s="1">
        <f t="shared" si="28"/>
        <v>358031.11</v>
      </c>
    </row>
    <row r="104" spans="1:34" ht="24.95" customHeight="1">
      <c r="A104" s="85">
        <v>15</v>
      </c>
      <c r="B104" s="92">
        <v>1742100592</v>
      </c>
      <c r="C104" s="109" t="str">
        <f t="shared" si="21"/>
        <v>592</v>
      </c>
      <c r="D104" s="109" t="str">
        <f t="shared" ref="D104:D117" si="30">MID(B104,2,6)</f>
        <v>742100</v>
      </c>
      <c r="E104" s="93" t="s">
        <v>446</v>
      </c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>
        <f>VLOOKUP(B:B,'[3]תשלומים 2017'!B:R,15,0)</f>
        <v>0</v>
      </c>
      <c r="Q104" s="95">
        <f>VLOOKUP(B:B,'[3]דוח כספי 10.17 מעודכן'!A:D,4,0)</f>
        <v>0</v>
      </c>
      <c r="R104" s="95">
        <f>VLOOKUP(B:B,'[3]תשלומים 2017'!B:T,17,0)</f>
        <v>0</v>
      </c>
      <c r="S104" s="95">
        <f>Q104/10*12</f>
        <v>0</v>
      </c>
      <c r="T104" s="95">
        <v>0</v>
      </c>
      <c r="U104" s="110"/>
      <c r="V104" s="110"/>
      <c r="W104" s="97"/>
      <c r="X104" s="91"/>
      <c r="Y104" s="85"/>
      <c r="Z104" s="98"/>
      <c r="AA104" s="85"/>
      <c r="AB104" s="85"/>
      <c r="AC104" s="85"/>
      <c r="AD104" s="85"/>
      <c r="AE104" s="85"/>
      <c r="AF104" s="85"/>
      <c r="AG104" s="83">
        <f t="shared" si="28"/>
        <v>0</v>
      </c>
    </row>
    <row r="105" spans="1:34" ht="24.95" customHeight="1">
      <c r="A105" s="85">
        <v>15</v>
      </c>
      <c r="B105" s="92">
        <v>1742100750</v>
      </c>
      <c r="C105" s="109" t="str">
        <f t="shared" si="21"/>
        <v>750</v>
      </c>
      <c r="D105" s="109" t="str">
        <f t="shared" si="30"/>
        <v>742100</v>
      </c>
      <c r="E105" s="93" t="s">
        <v>447</v>
      </c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>
        <f>VLOOKUP(B:B,'[3]תשלומים 2017'!B:R,15,0)</f>
        <v>100000</v>
      </c>
      <c r="Q105" s="95">
        <f>VLOOKUP(B:B,'[3]דוח כספי 10.17 מעודכן'!A:D,4,0)</f>
        <v>81841</v>
      </c>
      <c r="R105" s="95">
        <f>VLOOKUP(B:B,'[3]תשלומים 2017'!B:T,17,0)</f>
        <v>100000</v>
      </c>
      <c r="S105" s="95">
        <f>Q105/10*12</f>
        <v>98209.200000000012</v>
      </c>
      <c r="T105" s="95">
        <v>100000</v>
      </c>
      <c r="U105" s="110"/>
      <c r="V105" s="110"/>
      <c r="W105" s="97"/>
      <c r="X105" s="91"/>
      <c r="Y105" s="85"/>
      <c r="Z105" s="98"/>
      <c r="AA105" s="85"/>
      <c r="AB105" s="85"/>
      <c r="AC105" s="85"/>
      <c r="AD105" s="85"/>
      <c r="AE105" s="85"/>
      <c r="AF105" s="85"/>
      <c r="AG105" s="83">
        <f t="shared" si="28"/>
        <v>18159</v>
      </c>
      <c r="AH105">
        <v>238000</v>
      </c>
    </row>
    <row r="106" spans="1:34" ht="24.95" customHeight="1">
      <c r="A106" s="85">
        <v>15</v>
      </c>
      <c r="B106" s="92">
        <v>1742100810</v>
      </c>
      <c r="C106" s="109" t="str">
        <f t="shared" si="21"/>
        <v>810</v>
      </c>
      <c r="D106" s="109" t="str">
        <f t="shared" si="30"/>
        <v>742100</v>
      </c>
      <c r="E106" s="93" t="s">
        <v>446</v>
      </c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>
        <f>VLOOKUP(B:B,'[3]תשלומים 2017'!B:R,15,0)</f>
        <v>53000</v>
      </c>
      <c r="Q106" s="95">
        <f>VLOOKUP(B:B,'[3]דוח כספי 10.17 מעודכן'!A:D,4,0)</f>
        <v>85000</v>
      </c>
      <c r="R106" s="95">
        <f>VLOOKUP(B:B,'[3]תשלומים 2017'!B:T,17,0)</f>
        <v>85000</v>
      </c>
      <c r="S106" s="95">
        <f>Q106/10*12</f>
        <v>102000</v>
      </c>
      <c r="T106" s="95">
        <v>102000</v>
      </c>
      <c r="U106" s="110"/>
      <c r="V106" s="110"/>
      <c r="W106" s="97"/>
      <c r="X106" s="91"/>
      <c r="Y106" s="85"/>
      <c r="Z106" s="98"/>
      <c r="AA106" s="85"/>
      <c r="AB106" s="85"/>
      <c r="AC106" s="85"/>
      <c r="AD106" s="85"/>
      <c r="AE106" s="85"/>
      <c r="AF106" s="85"/>
      <c r="AG106" s="83">
        <f t="shared" si="28"/>
        <v>-32000</v>
      </c>
    </row>
    <row r="107" spans="1:34" ht="24.95" customHeight="1">
      <c r="A107" s="85">
        <v>15</v>
      </c>
      <c r="B107" s="92">
        <v>1742100930</v>
      </c>
      <c r="C107" s="109" t="str">
        <f t="shared" si="21"/>
        <v>930</v>
      </c>
      <c r="D107" s="109" t="str">
        <f t="shared" si="30"/>
        <v>742100</v>
      </c>
      <c r="E107" s="93" t="s">
        <v>448</v>
      </c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>
        <f>VLOOKUP(B:B,'[3]תשלומים 2017'!B:R,15,0)</f>
        <v>5000</v>
      </c>
      <c r="Q107" s="95">
        <f>VLOOKUP(B:B,'[3]דוח כספי 10.17 מעודכן'!A:D,4,0)</f>
        <v>0</v>
      </c>
      <c r="R107" s="95">
        <f>VLOOKUP(B:B,'[3]תשלומים 2017'!B:T,17,0)</f>
        <v>0</v>
      </c>
      <c r="S107" s="95">
        <f>Q107/10*12</f>
        <v>0</v>
      </c>
      <c r="T107" s="95">
        <v>0</v>
      </c>
      <c r="U107" s="110"/>
      <c r="V107" s="110"/>
      <c r="W107" s="97"/>
      <c r="X107" s="91"/>
      <c r="Y107" s="85"/>
      <c r="Z107" s="98"/>
      <c r="AA107" s="85"/>
      <c r="AB107" s="85"/>
      <c r="AC107" s="85"/>
      <c r="AD107" s="85"/>
      <c r="AE107" s="85"/>
      <c r="AF107" s="85"/>
      <c r="AG107" s="83">
        <f t="shared" si="28"/>
        <v>5000</v>
      </c>
    </row>
    <row r="108" spans="1:34" ht="24.95" customHeight="1">
      <c r="A108" s="85">
        <v>16</v>
      </c>
      <c r="B108" s="92">
        <v>1743000110</v>
      </c>
      <c r="C108" s="109" t="str">
        <f t="shared" si="21"/>
        <v>110</v>
      </c>
      <c r="D108" s="109" t="str">
        <f t="shared" si="30"/>
        <v>743000</v>
      </c>
      <c r="E108" s="93" t="s">
        <v>449</v>
      </c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>
        <f>VLOOKUP(B:B,'[3]תשלומים 2017'!B:R,15,0)</f>
        <v>0</v>
      </c>
      <c r="Q108" s="95">
        <f>VLOOKUP(B:B,'[3]דוח כספי 10.17 מעודכן'!A:D,4,0)</f>
        <v>0</v>
      </c>
      <c r="R108" s="95">
        <f>VLOOKUP(B:B,'[3]תשלומים 2017'!B:T,17,0)</f>
        <v>0</v>
      </c>
      <c r="S108" s="95">
        <f>Q108/9*12</f>
        <v>0</v>
      </c>
      <c r="T108" s="95">
        <v>0</v>
      </c>
      <c r="U108" s="96"/>
      <c r="V108" s="96"/>
      <c r="W108" s="97"/>
      <c r="X108" s="91"/>
      <c r="Y108" s="85"/>
      <c r="Z108" s="98"/>
      <c r="AA108" s="85"/>
      <c r="AB108" s="85"/>
      <c r="AC108" s="85"/>
      <c r="AD108" s="85"/>
      <c r="AE108" s="85"/>
      <c r="AF108" s="85"/>
      <c r="AG108"/>
    </row>
    <row r="109" spans="1:34" ht="24.95" customHeight="1">
      <c r="A109" s="85">
        <v>15</v>
      </c>
      <c r="B109" s="92">
        <v>1743000431</v>
      </c>
      <c r="C109" s="109" t="str">
        <f t="shared" si="21"/>
        <v>431</v>
      </c>
      <c r="D109" s="109" t="str">
        <f t="shared" si="30"/>
        <v>743000</v>
      </c>
      <c r="E109" s="93" t="s">
        <v>450</v>
      </c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>
        <f>VLOOKUP(B:B,'[3]תשלומים 2017'!B:R,15,0)</f>
        <v>251000</v>
      </c>
      <c r="Q109" s="95">
        <f>VLOOKUP(B:B,'[3]דוח כספי 10.17 מעודכן'!A:D,4,0)</f>
        <v>163058.23999999999</v>
      </c>
      <c r="R109" s="95">
        <f>VLOOKUP(B:B,'[3]תשלומים 2017'!B:T,17,0)</f>
        <v>230000</v>
      </c>
      <c r="S109" s="95">
        <f t="shared" ref="S109:S117" si="31">Q109/10*12</f>
        <v>195669.88799999998</v>
      </c>
      <c r="T109" s="95">
        <v>200000</v>
      </c>
      <c r="U109" s="110"/>
      <c r="V109" s="110"/>
      <c r="W109" s="97"/>
      <c r="X109" s="91"/>
      <c r="Y109" s="85"/>
      <c r="Z109" s="98"/>
      <c r="AA109" s="85"/>
      <c r="AB109" s="85"/>
      <c r="AC109" s="85"/>
      <c r="AD109" s="85"/>
      <c r="AE109" s="85"/>
      <c r="AF109" s="85"/>
      <c r="AG109" s="83">
        <f t="shared" ref="AG109:AG118" si="32">P109-Q109</f>
        <v>87941.760000000009</v>
      </c>
    </row>
    <row r="110" spans="1:34" ht="24.95" customHeight="1">
      <c r="A110" s="85">
        <v>15</v>
      </c>
      <c r="B110" s="92">
        <v>1743000540</v>
      </c>
      <c r="C110" s="109" t="str">
        <f t="shared" si="21"/>
        <v>540</v>
      </c>
      <c r="D110" s="109" t="str">
        <f t="shared" si="30"/>
        <v>743000</v>
      </c>
      <c r="E110" s="93" t="s">
        <v>401</v>
      </c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>
        <f>VLOOKUP(B:B,'[3]תשלומים 2017'!B:R,15,0)</f>
        <v>0</v>
      </c>
      <c r="Q110" s="95">
        <f>VLOOKUP(B:B,'[3]דוח כספי 10.17 מעודכן'!A:D,4,0)</f>
        <v>0</v>
      </c>
      <c r="R110" s="95">
        <f>VLOOKUP(B:B,'[3]תשלומים 2017'!B:T,17,0)</f>
        <v>0</v>
      </c>
      <c r="S110" s="95">
        <f t="shared" si="31"/>
        <v>0</v>
      </c>
      <c r="T110" s="95">
        <v>0</v>
      </c>
      <c r="U110" s="110"/>
      <c r="V110" s="110"/>
      <c r="W110" s="97"/>
      <c r="X110" s="91"/>
      <c r="Y110" s="85"/>
      <c r="Z110" s="98"/>
      <c r="AA110" s="85"/>
      <c r="AB110" s="85"/>
      <c r="AC110" s="85"/>
      <c r="AD110" s="85"/>
      <c r="AE110" s="85"/>
      <c r="AF110" s="85"/>
      <c r="AG110" s="83">
        <f t="shared" si="32"/>
        <v>0</v>
      </c>
    </row>
    <row r="111" spans="1:34" ht="24.95" customHeight="1">
      <c r="A111" s="85">
        <v>15</v>
      </c>
      <c r="B111" s="92">
        <v>1743000750</v>
      </c>
      <c r="C111" s="109" t="str">
        <f t="shared" si="21"/>
        <v>750</v>
      </c>
      <c r="D111" s="109" t="str">
        <f t="shared" si="30"/>
        <v>743000</v>
      </c>
      <c r="E111" s="93" t="s">
        <v>451</v>
      </c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>
        <f>VLOOKUP(B:B,'[3]תשלומים 2017'!B:R,15,0)</f>
        <v>177000</v>
      </c>
      <c r="Q111" s="95">
        <f>VLOOKUP(B:B,'[3]דוח כספי 10.17 מעודכן'!A:D,4,0)</f>
        <v>101148.65</v>
      </c>
      <c r="R111" s="95">
        <f>VLOOKUP(B:B,'[3]תשלומים 2017'!B:T,17,0)</f>
        <v>177000</v>
      </c>
      <c r="S111" s="95">
        <f t="shared" si="31"/>
        <v>121378.38</v>
      </c>
      <c r="T111" s="95">
        <v>130000</v>
      </c>
      <c r="U111" s="110"/>
      <c r="V111" s="110"/>
      <c r="W111" s="97"/>
      <c r="X111" s="91"/>
      <c r="Y111" s="85"/>
      <c r="Z111" s="98"/>
      <c r="AA111" s="85"/>
      <c r="AB111" s="85"/>
      <c r="AC111" s="85"/>
      <c r="AD111" s="85"/>
      <c r="AE111" s="85"/>
      <c r="AF111" s="85"/>
      <c r="AG111" s="83">
        <f t="shared" si="32"/>
        <v>75851.350000000006</v>
      </c>
    </row>
    <row r="112" spans="1:34" ht="24.95" customHeight="1">
      <c r="A112" s="85">
        <v>15</v>
      </c>
      <c r="B112" s="92">
        <v>1744000581</v>
      </c>
      <c r="C112" s="109" t="str">
        <f t="shared" si="21"/>
        <v>581</v>
      </c>
      <c r="D112" s="109" t="str">
        <f t="shared" si="30"/>
        <v>744000</v>
      </c>
      <c r="E112" s="93" t="s">
        <v>78</v>
      </c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>
        <f>VLOOKUP(B:B,'[3]תשלומים 2017'!B:R,15,0)</f>
        <v>0</v>
      </c>
      <c r="Q112" s="95">
        <f>VLOOKUP(B:B,'[3]דוח כספי 10.17 מעודכן'!A:D,4,0)</f>
        <v>0</v>
      </c>
      <c r="R112" s="95">
        <f>VLOOKUP(B:B,'[3]תשלומים 2017'!B:T,17,0)</f>
        <v>0</v>
      </c>
      <c r="S112" s="95">
        <f t="shared" si="31"/>
        <v>0</v>
      </c>
      <c r="T112" s="95">
        <v>0</v>
      </c>
      <c r="U112" s="110"/>
      <c r="V112" s="110"/>
      <c r="W112" s="97"/>
      <c r="X112" s="91"/>
      <c r="Y112" s="85"/>
      <c r="Z112" s="98"/>
      <c r="AA112" s="85"/>
      <c r="AB112" s="85"/>
      <c r="AC112" s="85"/>
      <c r="AD112" s="85"/>
      <c r="AE112" s="85"/>
      <c r="AF112" s="85"/>
      <c r="AG112" s="83">
        <f t="shared" si="32"/>
        <v>0</v>
      </c>
    </row>
    <row r="113" spans="1:33" ht="24.95" customHeight="1">
      <c r="A113" s="85">
        <v>15</v>
      </c>
      <c r="B113" s="92">
        <v>1744000810</v>
      </c>
      <c r="C113" s="109" t="str">
        <f t="shared" si="21"/>
        <v>810</v>
      </c>
      <c r="D113" s="109" t="str">
        <f t="shared" si="30"/>
        <v>744000</v>
      </c>
      <c r="E113" s="93" t="s">
        <v>78</v>
      </c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>
        <f>VLOOKUP(B:B,'[3]תשלומים 2017'!B:R,15,0)</f>
        <v>100000</v>
      </c>
      <c r="Q113" s="95">
        <f>VLOOKUP(B:B,'[3]דוח כספי 10.17 מעודכן'!A:D,4,0)</f>
        <v>38600</v>
      </c>
      <c r="R113" s="95">
        <f>VLOOKUP(B:B,'[3]תשלומים 2017'!B:T,17,0)</f>
        <v>50000</v>
      </c>
      <c r="S113" s="95">
        <f t="shared" si="31"/>
        <v>46320</v>
      </c>
      <c r="T113" s="95">
        <v>50000</v>
      </c>
      <c r="U113" s="110"/>
      <c r="V113" s="110"/>
      <c r="W113" s="97"/>
      <c r="X113" s="91"/>
      <c r="Y113" s="85"/>
      <c r="Z113" s="98"/>
      <c r="AA113" s="85"/>
      <c r="AB113" s="85"/>
      <c r="AC113" s="85"/>
      <c r="AD113" s="85"/>
      <c r="AE113" s="85"/>
      <c r="AF113" s="85"/>
      <c r="AG113" s="83">
        <f t="shared" si="32"/>
        <v>61400</v>
      </c>
    </row>
    <row r="114" spans="1:33" ht="24.95" customHeight="1">
      <c r="A114" s="85">
        <v>15</v>
      </c>
      <c r="B114" s="92">
        <v>1746000422</v>
      </c>
      <c r="C114" s="109" t="str">
        <f t="shared" si="21"/>
        <v>422</v>
      </c>
      <c r="D114" s="109" t="str">
        <f t="shared" si="30"/>
        <v>746000</v>
      </c>
      <c r="E114" s="93" t="s">
        <v>452</v>
      </c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>
        <f>VLOOKUP(B:B,'[3]תשלומים 2017'!B:R,15,0)</f>
        <v>0</v>
      </c>
      <c r="Q114" s="95">
        <f>VLOOKUP(B:B,'[3]דוח כספי 10.17 מעודכן'!A:D,4,0)</f>
        <v>27378</v>
      </c>
      <c r="R114" s="95">
        <f>VLOOKUP(B:B,'[3]תשלומים 2017'!B:T,17,0)</f>
        <v>35000</v>
      </c>
      <c r="S114" s="95">
        <f t="shared" si="31"/>
        <v>32853.600000000006</v>
      </c>
      <c r="T114" s="95">
        <v>34000</v>
      </c>
      <c r="U114" s="110"/>
      <c r="V114" s="110"/>
      <c r="W114" s="97"/>
      <c r="X114" s="91"/>
      <c r="Y114" s="85"/>
      <c r="Z114" s="98"/>
      <c r="AA114" s="85"/>
      <c r="AB114" s="85"/>
      <c r="AC114" s="85"/>
      <c r="AD114" s="85"/>
      <c r="AE114" s="85"/>
      <c r="AF114" s="85"/>
      <c r="AG114" s="83">
        <f t="shared" si="32"/>
        <v>-27378</v>
      </c>
    </row>
    <row r="115" spans="1:33" ht="24.95" customHeight="1">
      <c r="A115" s="85">
        <v>15</v>
      </c>
      <c r="B115" s="100">
        <v>1746000432</v>
      </c>
      <c r="C115" s="101" t="str">
        <f t="shared" si="21"/>
        <v>432</v>
      </c>
      <c r="D115" s="101" t="str">
        <f t="shared" si="30"/>
        <v>746000</v>
      </c>
      <c r="E115" s="102" t="s">
        <v>453</v>
      </c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>
        <f>VLOOKUP(B:B,'[3]תשלומים 2017'!B:R,15,0)</f>
        <v>10000</v>
      </c>
      <c r="Q115" s="103">
        <f>VLOOKUP(B:B,'[3]דוח כספי 10.17 מעודכן'!A:D,4,0)</f>
        <v>0</v>
      </c>
      <c r="R115" s="103">
        <f>VLOOKUP(B:B,'[3]תשלומים 2017'!B:T,17,0)</f>
        <v>10000</v>
      </c>
      <c r="S115" s="103">
        <f t="shared" si="31"/>
        <v>0</v>
      </c>
      <c r="T115" s="103">
        <v>10000</v>
      </c>
      <c r="U115" s="110"/>
      <c r="V115" s="110"/>
      <c r="W115" s="97"/>
      <c r="X115" s="91"/>
      <c r="Y115" s="85"/>
      <c r="Z115" s="98"/>
      <c r="AA115" s="85"/>
      <c r="AB115" s="85"/>
      <c r="AC115" s="85"/>
      <c r="AD115" s="85"/>
      <c r="AE115" s="85"/>
      <c r="AF115" s="85"/>
      <c r="AG115" s="83">
        <f t="shared" si="32"/>
        <v>10000</v>
      </c>
    </row>
    <row r="116" spans="1:33" ht="24.95" customHeight="1">
      <c r="A116" s="85">
        <v>15</v>
      </c>
      <c r="B116" s="92">
        <v>1746000740</v>
      </c>
      <c r="C116" s="109" t="str">
        <f t="shared" si="21"/>
        <v>740</v>
      </c>
      <c r="D116" s="109" t="str">
        <f t="shared" si="30"/>
        <v>746000</v>
      </c>
      <c r="E116" s="93" t="s">
        <v>454</v>
      </c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>
        <f>VLOOKUP(B:B,'[3]תשלומים 2017'!B:R,15,0)</f>
        <v>5000</v>
      </c>
      <c r="Q116" s="95">
        <f>VLOOKUP(B:B,'[3]דוח כספי 10.17 מעודכן'!A:D,4,0)</f>
        <v>0</v>
      </c>
      <c r="R116" s="95">
        <f>VLOOKUP(B:B,'[3]תשלומים 2017'!B:T,17,0)</f>
        <v>5000</v>
      </c>
      <c r="S116" s="95">
        <f t="shared" si="31"/>
        <v>0</v>
      </c>
      <c r="T116" s="95">
        <v>5000</v>
      </c>
      <c r="U116" s="110"/>
      <c r="V116" s="110"/>
      <c r="W116" s="97"/>
      <c r="X116" s="91"/>
      <c r="Y116" s="85"/>
      <c r="Z116" s="98"/>
      <c r="AA116" s="85"/>
      <c r="AB116" s="85"/>
      <c r="AC116" s="85"/>
      <c r="AD116" s="85"/>
      <c r="AE116" s="85"/>
      <c r="AF116" s="85"/>
      <c r="AG116" s="83">
        <f t="shared" si="32"/>
        <v>5000</v>
      </c>
    </row>
    <row r="117" spans="1:33" ht="24.95" customHeight="1">
      <c r="A117" s="85">
        <v>15</v>
      </c>
      <c r="B117" s="92">
        <v>1746000810</v>
      </c>
      <c r="C117" s="109" t="str">
        <f t="shared" si="21"/>
        <v>810</v>
      </c>
      <c r="D117" s="109" t="str">
        <f t="shared" si="30"/>
        <v>746000</v>
      </c>
      <c r="E117" s="93" t="s">
        <v>452</v>
      </c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>
        <f>VLOOKUP(B:B,'[3]תשלומים 2017'!B:R,15,0)</f>
        <v>164000</v>
      </c>
      <c r="Q117" s="95">
        <f>VLOOKUP(B:B,'[3]דוח כספי 10.17 מעודכן'!A:D,4,0)</f>
        <v>4001.4</v>
      </c>
      <c r="R117" s="95">
        <f>VLOOKUP(B:B,'[3]תשלומים 2017'!B:T,17,0)</f>
        <v>150000</v>
      </c>
      <c r="S117" s="95">
        <f t="shared" si="31"/>
        <v>4801.68</v>
      </c>
      <c r="T117" s="95">
        <v>100000</v>
      </c>
      <c r="U117" s="110"/>
      <c r="V117" s="110"/>
      <c r="W117" s="97"/>
      <c r="X117" s="91"/>
      <c r="Y117" s="85"/>
      <c r="Z117" s="98"/>
      <c r="AA117" s="85"/>
      <c r="AB117" s="85"/>
      <c r="AC117" s="85"/>
      <c r="AD117" s="85"/>
      <c r="AE117" s="85"/>
      <c r="AF117" s="85"/>
      <c r="AG117" s="83">
        <f t="shared" si="32"/>
        <v>159998.6</v>
      </c>
    </row>
    <row r="118" spans="1:33" s="1" customFormat="1" ht="24.95" customHeight="1">
      <c r="B118" s="28"/>
      <c r="C118" s="29"/>
      <c r="D118" s="29"/>
      <c r="E118" s="29" t="s">
        <v>455</v>
      </c>
      <c r="F118" s="30" t="e">
        <f>SUM(#REF!)</f>
        <v>#REF!</v>
      </c>
      <c r="G118" s="30" t="e">
        <f>SUM(#REF!)</f>
        <v>#REF!</v>
      </c>
      <c r="H118" s="30" t="e">
        <f>SUM(#REF!)</f>
        <v>#REF!</v>
      </c>
      <c r="I118" s="30" t="e">
        <f>SUM(#REF!)</f>
        <v>#REF!</v>
      </c>
      <c r="J118" s="30" t="e">
        <f>SUM(#REF!)</f>
        <v>#REF!</v>
      </c>
      <c r="K118" s="30" t="e">
        <f>SUM(#REF!)</f>
        <v>#REF!</v>
      </c>
      <c r="L118" s="30" t="e">
        <f>SUM(#REF!)</f>
        <v>#REF!</v>
      </c>
      <c r="M118" s="30" t="e">
        <f>SUM(#REF!)</f>
        <v>#REF!</v>
      </c>
      <c r="N118" s="30" t="e">
        <f>SUM(#REF!)</f>
        <v>#REF!</v>
      </c>
      <c r="O118" s="30" t="e">
        <f>SUM(#REF!)</f>
        <v>#REF!</v>
      </c>
      <c r="P118" s="30">
        <f t="shared" ref="P118:S118" si="33">SUM(P104:P117)</f>
        <v>865000</v>
      </c>
      <c r="Q118" s="30">
        <f t="shared" si="33"/>
        <v>501027.29000000004</v>
      </c>
      <c r="R118" s="30">
        <f t="shared" si="33"/>
        <v>842000</v>
      </c>
      <c r="S118" s="30">
        <f t="shared" si="33"/>
        <v>601232.74800000002</v>
      </c>
      <c r="T118" s="30">
        <f>SUM(T104:T117)</f>
        <v>731000</v>
      </c>
      <c r="U118" s="31">
        <f t="shared" ref="U118:V118" si="34">SUM(U104:U117)</f>
        <v>0</v>
      </c>
      <c r="V118" s="31">
        <f t="shared" si="34"/>
        <v>0</v>
      </c>
      <c r="W118" s="22"/>
      <c r="X118" s="23"/>
      <c r="Y118" s="5">
        <f>IF(ISBLANK(B118),1,--OR(L118&gt;1,M118&gt;1,N118&gt;1))</f>
        <v>1</v>
      </c>
      <c r="Z118" s="1">
        <v>0</v>
      </c>
      <c r="AG118" s="1">
        <f t="shared" si="32"/>
        <v>363972.70999999996</v>
      </c>
    </row>
    <row r="119" spans="1:33" ht="24.95" customHeight="1">
      <c r="A119" s="85">
        <v>16</v>
      </c>
      <c r="B119" s="92">
        <v>1761000110</v>
      </c>
      <c r="C119" s="109" t="str">
        <f t="shared" si="21"/>
        <v>110</v>
      </c>
      <c r="D119" s="109" t="str">
        <f t="shared" ref="D119:D124" si="35">MID(B119,2,6)</f>
        <v>761000</v>
      </c>
      <c r="E119" s="93" t="s">
        <v>456</v>
      </c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>
        <f>VLOOKUP(B:B,'[3]תשלומים 2017'!B:R,15,0)</f>
        <v>238000</v>
      </c>
      <c r="Q119" s="95">
        <f>VLOOKUP(B:B,'[3]דוח כספי 10.17 מעודכן'!A:D,4,0)</f>
        <v>178157.92</v>
      </c>
      <c r="R119" s="95">
        <f>VLOOKUP(B:B,'[3]תשלומים 2017'!B:T,17,0)</f>
        <v>238000</v>
      </c>
      <c r="S119" s="95">
        <f>Q119/9*12</f>
        <v>237543.89333333337</v>
      </c>
      <c r="T119" s="95">
        <v>239000</v>
      </c>
      <c r="U119" s="96">
        <v>1</v>
      </c>
      <c r="V119" s="96">
        <v>1</v>
      </c>
      <c r="W119" s="97"/>
      <c r="X119" s="91"/>
      <c r="Y119" s="85"/>
      <c r="Z119" s="98"/>
      <c r="AA119" s="85"/>
      <c r="AB119" s="85"/>
      <c r="AC119" s="85"/>
      <c r="AD119" s="85"/>
      <c r="AE119" s="85"/>
      <c r="AF119" s="85"/>
      <c r="AG119"/>
    </row>
    <row r="120" spans="1:33" ht="24.95" customHeight="1">
      <c r="A120" s="85">
        <v>15</v>
      </c>
      <c r="B120" s="92">
        <v>1761000422</v>
      </c>
      <c r="C120" s="109" t="str">
        <f t="shared" si="21"/>
        <v>422</v>
      </c>
      <c r="D120" s="109" t="str">
        <f t="shared" si="35"/>
        <v>761000</v>
      </c>
      <c r="E120" s="93" t="s">
        <v>457</v>
      </c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>
        <f>VLOOKUP(B:B,'[3]תשלומים 2017'!B:R,15,0)</f>
        <v>0</v>
      </c>
      <c r="Q120" s="95">
        <f>VLOOKUP(B:B,'[3]דוח כספי 10.17 מעודכן'!A:D,4,0)</f>
        <v>0</v>
      </c>
      <c r="R120" s="95">
        <f>VLOOKUP(B:B,'[3]תשלומים 2017'!B:T,17,0)</f>
        <v>0</v>
      </c>
      <c r="S120" s="95">
        <f>Q120/10*12</f>
        <v>0</v>
      </c>
      <c r="T120" s="95">
        <v>0</v>
      </c>
      <c r="U120" s="110"/>
      <c r="V120" s="110"/>
      <c r="W120" s="97"/>
      <c r="X120" s="91"/>
      <c r="Y120" s="85"/>
      <c r="Z120" s="98"/>
      <c r="AA120" s="85"/>
      <c r="AB120" s="85"/>
      <c r="AC120" s="85"/>
      <c r="AD120" s="85"/>
      <c r="AE120" s="85"/>
      <c r="AF120" s="85"/>
      <c r="AG120" s="83">
        <f t="shared" ref="AG120:AG127" si="36">P120-Q120</f>
        <v>0</v>
      </c>
    </row>
    <row r="121" spans="1:33" ht="24.95" customHeight="1">
      <c r="A121" s="85">
        <v>15</v>
      </c>
      <c r="B121" s="92">
        <v>1761000431</v>
      </c>
      <c r="C121" s="109" t="str">
        <f t="shared" si="21"/>
        <v>431</v>
      </c>
      <c r="D121" s="109" t="str">
        <f t="shared" si="35"/>
        <v>761000</v>
      </c>
      <c r="E121" s="93" t="s">
        <v>458</v>
      </c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>
        <f>VLOOKUP(B:B,'[3]תשלומים 2017'!B:R,15,0)</f>
        <v>0</v>
      </c>
      <c r="Q121" s="95">
        <f>VLOOKUP(B:B,'[3]דוח כספי 10.17 מעודכן'!A:D,4,0)</f>
        <v>0</v>
      </c>
      <c r="R121" s="95">
        <f>VLOOKUP(B:B,'[3]תשלומים 2017'!B:T,17,0)</f>
        <v>0</v>
      </c>
      <c r="S121" s="95">
        <f>Q121/10*12</f>
        <v>0</v>
      </c>
      <c r="T121" s="95">
        <v>0</v>
      </c>
      <c r="U121" s="110"/>
      <c r="V121" s="110"/>
      <c r="W121" s="97"/>
      <c r="X121" s="91"/>
      <c r="Y121" s="85"/>
      <c r="Z121" s="98"/>
      <c r="AA121" s="85"/>
      <c r="AB121" s="85"/>
      <c r="AC121" s="85"/>
      <c r="AD121" s="85"/>
      <c r="AE121" s="85"/>
      <c r="AF121" s="85"/>
      <c r="AG121" s="83">
        <f t="shared" si="36"/>
        <v>0</v>
      </c>
    </row>
    <row r="122" spans="1:33" ht="24.95" customHeight="1">
      <c r="A122" s="85">
        <v>15</v>
      </c>
      <c r="B122" s="92">
        <v>1761000521</v>
      </c>
      <c r="C122" s="109" t="str">
        <f t="shared" si="21"/>
        <v>521</v>
      </c>
      <c r="D122" s="109" t="str">
        <f t="shared" si="35"/>
        <v>761000</v>
      </c>
      <c r="E122" s="93" t="s">
        <v>459</v>
      </c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>
        <f>VLOOKUP(B:B,'[3]תשלומים 2017'!B:R,15,0)</f>
        <v>2000</v>
      </c>
      <c r="Q122" s="95">
        <f>VLOOKUP(B:B,'[3]דוח כספי 10.17 מעודכן'!A:D,4,0)</f>
        <v>835</v>
      </c>
      <c r="R122" s="95">
        <f>VLOOKUP(B:B,'[3]תשלומים 2017'!B:T,17,0)</f>
        <v>2000</v>
      </c>
      <c r="S122" s="95">
        <f>Q122/10*12</f>
        <v>1002</v>
      </c>
      <c r="T122" s="95">
        <v>1500</v>
      </c>
      <c r="U122" s="110"/>
      <c r="V122" s="110"/>
      <c r="W122" s="97"/>
      <c r="X122" s="91"/>
      <c r="Y122" s="85"/>
      <c r="Z122" s="98"/>
      <c r="AA122" s="85"/>
      <c r="AB122" s="85"/>
      <c r="AC122" s="85"/>
      <c r="AD122" s="85"/>
      <c r="AE122" s="85"/>
      <c r="AF122" s="85"/>
      <c r="AG122" s="83">
        <f t="shared" si="36"/>
        <v>1165</v>
      </c>
    </row>
    <row r="123" spans="1:33" ht="24.95" customHeight="1">
      <c r="A123" s="85">
        <v>15</v>
      </c>
      <c r="B123" s="92">
        <v>1761000540</v>
      </c>
      <c r="C123" s="109" t="str">
        <f t="shared" si="21"/>
        <v>540</v>
      </c>
      <c r="D123" s="109" t="str">
        <f t="shared" si="35"/>
        <v>761000</v>
      </c>
      <c r="E123" s="93" t="s">
        <v>438</v>
      </c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>
        <f>VLOOKUP(B:B,'[3]תשלומים 2017'!B:R,15,0)</f>
        <v>2000</v>
      </c>
      <c r="Q123" s="95">
        <f>VLOOKUP(B:B,'[3]דוח כספי 10.17 מעודכן'!A:D,4,0)</f>
        <v>0</v>
      </c>
      <c r="R123" s="95">
        <f>VLOOKUP(B:B,'[3]תשלומים 2017'!B:T,17,0)</f>
        <v>0</v>
      </c>
      <c r="S123" s="95">
        <f>Q123/10*12</f>
        <v>0</v>
      </c>
      <c r="T123" s="95">
        <v>0</v>
      </c>
      <c r="U123" s="110"/>
      <c r="V123" s="110"/>
      <c r="W123" s="97"/>
      <c r="X123" s="91"/>
      <c r="Y123" s="85"/>
      <c r="Z123" s="98"/>
      <c r="AA123" s="85"/>
      <c r="AB123" s="85"/>
      <c r="AC123" s="85"/>
      <c r="AD123" s="85"/>
      <c r="AE123" s="85"/>
      <c r="AF123" s="85"/>
      <c r="AG123" s="83">
        <f t="shared" si="36"/>
        <v>2000</v>
      </c>
    </row>
    <row r="124" spans="1:33" ht="24.95" customHeight="1">
      <c r="A124" s="85">
        <v>15</v>
      </c>
      <c r="B124" s="92">
        <v>1761000810</v>
      </c>
      <c r="C124" s="109" t="str">
        <f t="shared" si="21"/>
        <v>810</v>
      </c>
      <c r="D124" s="109" t="str">
        <f t="shared" si="35"/>
        <v>761000</v>
      </c>
      <c r="E124" s="93" t="s">
        <v>457</v>
      </c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>
        <f>VLOOKUP(B:B,'[3]תשלומים 2017'!B:R,15,0)</f>
        <v>35000</v>
      </c>
      <c r="Q124" s="95">
        <f>VLOOKUP(B:B,'[3]דוח כספי 10.17 מעודכן'!A:D,4,0)</f>
        <v>16100</v>
      </c>
      <c r="R124" s="95">
        <f>VLOOKUP(B:B,'[3]תשלומים 2017'!B:T,17,0)</f>
        <v>35000</v>
      </c>
      <c r="S124" s="95">
        <f>Q124/10*12</f>
        <v>19320</v>
      </c>
      <c r="T124" s="95">
        <v>20000</v>
      </c>
      <c r="U124" s="110"/>
      <c r="V124" s="110"/>
      <c r="W124" s="97"/>
      <c r="X124" s="91"/>
      <c r="Y124" s="85"/>
      <c r="Z124" s="98"/>
      <c r="AA124" s="85"/>
      <c r="AB124" s="85"/>
      <c r="AC124" s="85"/>
      <c r="AD124" s="85"/>
      <c r="AE124" s="85"/>
      <c r="AF124" s="85"/>
      <c r="AG124" s="83">
        <f t="shared" si="36"/>
        <v>18900</v>
      </c>
    </row>
    <row r="125" spans="1:33" s="1" customFormat="1" ht="24.95" customHeight="1">
      <c r="B125" s="28"/>
      <c r="C125" s="29"/>
      <c r="D125" s="29"/>
      <c r="E125" s="29" t="s">
        <v>460</v>
      </c>
      <c r="F125" s="30" t="e">
        <f>SUM(#REF!)</f>
        <v>#REF!</v>
      </c>
      <c r="G125" s="30" t="e">
        <f>SUM(#REF!)</f>
        <v>#REF!</v>
      </c>
      <c r="H125" s="30" t="e">
        <f>SUM(#REF!)</f>
        <v>#REF!</v>
      </c>
      <c r="I125" s="30" t="e">
        <f>SUM(#REF!)</f>
        <v>#REF!</v>
      </c>
      <c r="J125" s="30" t="e">
        <f>SUM(#REF!)</f>
        <v>#REF!</v>
      </c>
      <c r="K125" s="30" t="e">
        <f>SUM(#REF!)</f>
        <v>#REF!</v>
      </c>
      <c r="L125" s="30" t="e">
        <f>SUM(#REF!)</f>
        <v>#REF!</v>
      </c>
      <c r="M125" s="30" t="e">
        <f>SUM(#REF!)</f>
        <v>#REF!</v>
      </c>
      <c r="N125" s="30" t="e">
        <f>SUM(#REF!)</f>
        <v>#REF!</v>
      </c>
      <c r="O125" s="30" t="e">
        <f>SUM(#REF!)</f>
        <v>#REF!</v>
      </c>
      <c r="P125" s="30">
        <f t="shared" ref="P125:V125" si="37">SUM(P119:P124)</f>
        <v>277000</v>
      </c>
      <c r="Q125" s="30">
        <f t="shared" si="37"/>
        <v>195092.92</v>
      </c>
      <c r="R125" s="30">
        <f t="shared" si="37"/>
        <v>275000</v>
      </c>
      <c r="S125" s="30">
        <f t="shared" si="37"/>
        <v>257865.89333333337</v>
      </c>
      <c r="T125" s="30">
        <f t="shared" si="37"/>
        <v>260500</v>
      </c>
      <c r="U125" s="112">
        <f t="shared" si="37"/>
        <v>1</v>
      </c>
      <c r="V125" s="112">
        <f t="shared" si="37"/>
        <v>1</v>
      </c>
      <c r="W125" s="22"/>
      <c r="X125" s="23"/>
      <c r="Y125" s="5">
        <f>IF(ISBLANK(B125),1,--OR(L125&gt;1,M125&gt;1,N125&gt;1))</f>
        <v>1</v>
      </c>
      <c r="Z125" s="1">
        <v>0</v>
      </c>
      <c r="AG125" s="1">
        <f t="shared" si="36"/>
        <v>81907.079999999987</v>
      </c>
    </row>
    <row r="126" spans="1:33" s="1" customFormat="1" ht="24.95" customHeight="1">
      <c r="B126" s="121"/>
      <c r="C126" s="122"/>
      <c r="D126" s="122"/>
      <c r="E126" s="33" t="s">
        <v>461</v>
      </c>
      <c r="F126" s="34" t="e">
        <f>+F125+#REF!+#REF!+F118+F103+F94+F90</f>
        <v>#REF!</v>
      </c>
      <c r="G126" s="34" t="e">
        <f>+G125+#REF!+#REF!+G118+G103+G94+G90</f>
        <v>#REF!</v>
      </c>
      <c r="H126" s="34" t="e">
        <f>+H125+#REF!+#REF!+H118+H103+H94+H90</f>
        <v>#REF!</v>
      </c>
      <c r="I126" s="34" t="e">
        <f>+I125+#REF!+#REF!+I118+I103+I94+I90</f>
        <v>#REF!</v>
      </c>
      <c r="J126" s="34" t="e">
        <f>+J125+#REF!+#REF!+J118+J103+J94+J90</f>
        <v>#REF!</v>
      </c>
      <c r="K126" s="34" t="e">
        <f>+K125+#REF!+#REF!+K118+K103+K94+K90</f>
        <v>#REF!</v>
      </c>
      <c r="L126" s="34" t="e">
        <f>+L125+#REF!+#REF!+L118+L103+L94+L90</f>
        <v>#REF!</v>
      </c>
      <c r="M126" s="34" t="e">
        <f>+M125+#REF!+#REF!+M118+M103+M94+M90</f>
        <v>#REF!</v>
      </c>
      <c r="N126" s="34" t="e">
        <f>+N125+#REF!+#REF!+N118+N103+N94+N90</f>
        <v>#REF!</v>
      </c>
      <c r="O126" s="34" t="e">
        <f>+O125+#REF!+#REF!+O118+O103+O94+O90</f>
        <v>#REF!</v>
      </c>
      <c r="P126" s="34">
        <f t="shared" ref="P126:S126" si="38">+P125+P118+P103+P94+P90</f>
        <v>5248000</v>
      </c>
      <c r="Q126" s="34">
        <f t="shared" si="38"/>
        <v>3911841.01</v>
      </c>
      <c r="R126" s="34">
        <f t="shared" si="38"/>
        <v>5092000</v>
      </c>
      <c r="S126" s="34">
        <f t="shared" si="38"/>
        <v>4762887.577333333</v>
      </c>
      <c r="T126" s="34">
        <f>+T125+T118+T103+T94+T90</f>
        <v>5044500</v>
      </c>
      <c r="U126" s="123">
        <f>+U125+U118+U103+U94+U90</f>
        <v>2.94</v>
      </c>
      <c r="V126" s="123">
        <f>+V125+V118+V103+V94+V90</f>
        <v>3.94</v>
      </c>
      <c r="W126" s="22"/>
      <c r="X126" s="23"/>
      <c r="Y126" s="5">
        <f>IF(ISBLANK(B126),1,--OR(L126&gt;1,M126&gt;1,N126&gt;1))</f>
        <v>1</v>
      </c>
      <c r="Z126" s="1">
        <v>0</v>
      </c>
      <c r="AG126" s="1">
        <f t="shared" si="36"/>
        <v>1336158.9900000002</v>
      </c>
    </row>
    <row r="127" spans="1:33" ht="24.95" customHeight="1">
      <c r="A127" s="85"/>
      <c r="B127" s="86"/>
      <c r="C127" s="87" t="s">
        <v>83</v>
      </c>
      <c r="D127" s="87"/>
      <c r="E127" s="87"/>
      <c r="F127" s="87"/>
      <c r="G127" s="87"/>
      <c r="H127" s="87"/>
      <c r="I127" s="88"/>
      <c r="J127" s="95"/>
      <c r="K127" s="124"/>
      <c r="L127" s="124"/>
      <c r="M127" s="124"/>
      <c r="N127" s="124"/>
      <c r="O127" s="95">
        <v>0</v>
      </c>
      <c r="P127" s="95"/>
      <c r="Q127" s="95"/>
      <c r="R127" s="95"/>
      <c r="S127" s="95"/>
      <c r="T127" s="124"/>
      <c r="U127" s="89"/>
      <c r="V127" s="89"/>
      <c r="W127" s="90"/>
      <c r="X127" s="91"/>
      <c r="Y127" s="85">
        <f>IF(ISBLANK(B127),1,--OR(L127&gt;1,M127&gt;1,N127&gt;1))</f>
        <v>1</v>
      </c>
      <c r="Z127" s="98">
        <f>+Q127-N127</f>
        <v>0</v>
      </c>
      <c r="AA127" s="85"/>
      <c r="AB127" s="85"/>
      <c r="AC127" s="85"/>
      <c r="AD127" s="85"/>
      <c r="AE127" s="85"/>
      <c r="AF127" s="85"/>
      <c r="AG127" s="83">
        <f t="shared" si="36"/>
        <v>0</v>
      </c>
    </row>
    <row r="128" spans="1:33" ht="24.95" customHeight="1">
      <c r="A128" s="85">
        <v>20</v>
      </c>
      <c r="B128" s="92">
        <v>1811000110</v>
      </c>
      <c r="C128" s="109" t="str">
        <f t="shared" ref="C128:C197" si="39">MID(B128,8,3)</f>
        <v>110</v>
      </c>
      <c r="D128" s="109" t="str">
        <f t="shared" ref="D128:D134" si="40">MID(B128,2,6)</f>
        <v>811000</v>
      </c>
      <c r="E128" s="93" t="s">
        <v>462</v>
      </c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>
        <f>VLOOKUP(B:B,'[3]תשלומים 2017'!B:R,15,0)</f>
        <v>494000</v>
      </c>
      <c r="Q128" s="95">
        <f>VLOOKUP(B:B,'[3]דוח כספי 10.17 מעודכן'!A:D,4,0)</f>
        <v>405652.44</v>
      </c>
      <c r="R128" s="95">
        <v>555000</v>
      </c>
      <c r="S128" s="95">
        <f>Q128/9*12</f>
        <v>540869.91999999993</v>
      </c>
      <c r="T128" s="95">
        <v>560000</v>
      </c>
      <c r="U128" s="96">
        <v>2.48</v>
      </c>
      <c r="V128" s="96">
        <v>2.4900000000000002</v>
      </c>
      <c r="W128" s="97"/>
      <c r="X128" s="91"/>
      <c r="Y128" s="85"/>
      <c r="Z128" s="98"/>
      <c r="AA128" s="85"/>
      <c r="AB128" s="85"/>
      <c r="AC128" s="85"/>
      <c r="AD128" s="85"/>
      <c r="AE128" s="85"/>
      <c r="AF128" s="85"/>
      <c r="AG128"/>
    </row>
    <row r="129" spans="1:34" ht="24.95" customHeight="1">
      <c r="A129" s="85">
        <v>19</v>
      </c>
      <c r="B129" s="92">
        <v>1811000521</v>
      </c>
      <c r="C129" s="109" t="str">
        <f t="shared" si="39"/>
        <v>521</v>
      </c>
      <c r="D129" s="109" t="str">
        <f t="shared" si="40"/>
        <v>811000</v>
      </c>
      <c r="E129" s="93" t="s">
        <v>357</v>
      </c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>
        <f>VLOOKUP(B:B,'[3]תשלומים 2017'!B:R,15,0)</f>
        <v>3000</v>
      </c>
      <c r="Q129" s="95">
        <f>VLOOKUP(B:B,'[3]דוח כספי 10.17 מעודכן'!A:D,4,0)</f>
        <v>0</v>
      </c>
      <c r="R129" s="95">
        <f>VLOOKUP(B:B,'[3]תשלומים 2017'!B:T,17,0)</f>
        <v>0</v>
      </c>
      <c r="S129" s="95">
        <f t="shared" ref="S129:S134" si="41">Q129/10*12</f>
        <v>0</v>
      </c>
      <c r="T129" s="95">
        <v>3000</v>
      </c>
      <c r="U129" s="110"/>
      <c r="V129" s="110"/>
      <c r="W129" s="97"/>
      <c r="X129" s="91"/>
      <c r="Y129" s="85"/>
      <c r="Z129" s="98"/>
      <c r="AA129" s="85"/>
      <c r="AB129" s="85"/>
      <c r="AC129" s="85"/>
      <c r="AD129" s="85"/>
      <c r="AE129" s="85"/>
      <c r="AF129" s="85"/>
      <c r="AG129" s="83">
        <f t="shared" ref="AG129:AG136" si="42">P129-Q129</f>
        <v>3000</v>
      </c>
      <c r="AH129">
        <v>0</v>
      </c>
    </row>
    <row r="130" spans="1:34" ht="24.95" customHeight="1">
      <c r="A130" s="85">
        <v>19</v>
      </c>
      <c r="B130" s="92">
        <v>1811000540</v>
      </c>
      <c r="C130" s="109" t="str">
        <f t="shared" si="39"/>
        <v>540</v>
      </c>
      <c r="D130" s="109" t="str">
        <f t="shared" si="40"/>
        <v>811000</v>
      </c>
      <c r="E130" s="93" t="s">
        <v>438</v>
      </c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>
        <f>VLOOKUP(B:B,'[3]תשלומים 2017'!B:R,15,0)</f>
        <v>0</v>
      </c>
      <c r="Q130" s="95">
        <f>VLOOKUP(B:B,'[3]דוח כספי 10.17 מעודכן'!A:D,4,0)</f>
        <v>0</v>
      </c>
      <c r="R130" s="95">
        <f>VLOOKUP(B:B,'[3]תשלומים 2017'!B:T,17,0)</f>
        <v>0</v>
      </c>
      <c r="S130" s="95">
        <f t="shared" si="41"/>
        <v>0</v>
      </c>
      <c r="T130" s="95">
        <v>0</v>
      </c>
      <c r="U130" s="110"/>
      <c r="V130" s="110"/>
      <c r="W130" s="97"/>
      <c r="X130" s="91"/>
      <c r="Y130" s="85"/>
      <c r="Z130" s="98"/>
      <c r="AA130" s="85"/>
      <c r="AB130" s="85"/>
      <c r="AC130" s="85"/>
      <c r="AD130" s="85"/>
      <c r="AE130" s="85"/>
      <c r="AF130" s="85"/>
      <c r="AG130" s="83">
        <f t="shared" si="42"/>
        <v>0</v>
      </c>
      <c r="AH130">
        <v>109000</v>
      </c>
    </row>
    <row r="131" spans="1:34" ht="24.95" customHeight="1">
      <c r="A131" s="85">
        <v>19</v>
      </c>
      <c r="B131" s="92">
        <v>1811000560</v>
      </c>
      <c r="C131" s="109" t="str">
        <f t="shared" si="39"/>
        <v>560</v>
      </c>
      <c r="D131" s="109" t="str">
        <f t="shared" si="40"/>
        <v>811000</v>
      </c>
      <c r="E131" s="93" t="s">
        <v>463</v>
      </c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>
        <f>VLOOKUP(B:B,'[3]תשלומים 2017'!B:R,15,0)</f>
        <v>0</v>
      </c>
      <c r="Q131" s="95">
        <f>VLOOKUP(B:B,'[3]דוח כספי 10.17 מעודכן'!A:D,4,0)</f>
        <v>0</v>
      </c>
      <c r="R131" s="95">
        <f>VLOOKUP(B:B,'[3]תשלומים 2017'!B:T,17,0)</f>
        <v>0</v>
      </c>
      <c r="S131" s="95">
        <f t="shared" si="41"/>
        <v>0</v>
      </c>
      <c r="T131" s="95">
        <v>0</v>
      </c>
      <c r="U131" s="110"/>
      <c r="V131" s="110"/>
      <c r="W131" s="97"/>
      <c r="X131" s="91"/>
      <c r="Y131" s="85"/>
      <c r="Z131" s="98"/>
      <c r="AA131" s="85"/>
      <c r="AB131" s="85"/>
      <c r="AC131" s="85"/>
      <c r="AD131" s="85"/>
      <c r="AE131" s="85"/>
      <c r="AF131" s="85"/>
      <c r="AG131" s="83">
        <f t="shared" si="42"/>
        <v>0</v>
      </c>
    </row>
    <row r="132" spans="1:34" ht="24.95" customHeight="1">
      <c r="A132" s="85">
        <v>19</v>
      </c>
      <c r="B132" s="92">
        <v>1811000810</v>
      </c>
      <c r="C132" s="109" t="str">
        <f t="shared" si="39"/>
        <v>810</v>
      </c>
      <c r="D132" s="109" t="str">
        <f t="shared" si="40"/>
        <v>811000</v>
      </c>
      <c r="E132" s="93" t="s">
        <v>463</v>
      </c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>
        <f>VLOOKUP(B:B,'[3]תשלומים 2017'!B:R,15,0)</f>
        <v>0</v>
      </c>
      <c r="Q132" s="95">
        <f>VLOOKUP(B:B,'[3]דוח כספי 10.17 מעודכן'!A:D,4,0)</f>
        <v>0</v>
      </c>
      <c r="R132" s="95">
        <f>VLOOKUP(B:B,'[3]תשלומים 2017'!B:T,17,0)</f>
        <v>0</v>
      </c>
      <c r="S132" s="95">
        <f t="shared" si="41"/>
        <v>0</v>
      </c>
      <c r="T132" s="95">
        <v>0</v>
      </c>
      <c r="U132" s="110"/>
      <c r="V132" s="110"/>
      <c r="W132" s="97"/>
      <c r="X132" s="91"/>
      <c r="Y132" s="85"/>
      <c r="Z132" s="98"/>
      <c r="AA132" s="85"/>
      <c r="AB132" s="85"/>
      <c r="AC132" s="85"/>
      <c r="AD132" s="85"/>
      <c r="AE132" s="85"/>
      <c r="AF132" s="85"/>
      <c r="AG132" s="83">
        <f t="shared" si="42"/>
        <v>0</v>
      </c>
    </row>
    <row r="133" spans="1:34" ht="24.95" customHeight="1">
      <c r="A133" s="85">
        <v>19</v>
      </c>
      <c r="B133" s="92">
        <v>1811200580</v>
      </c>
      <c r="C133" s="109" t="str">
        <f t="shared" si="39"/>
        <v>580</v>
      </c>
      <c r="D133" s="109" t="str">
        <f t="shared" si="40"/>
        <v>811200</v>
      </c>
      <c r="E133" s="93" t="s">
        <v>464</v>
      </c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>
        <f>VLOOKUP(B:B,'[3]תשלומים 2017'!B:R,15,0)</f>
        <v>0</v>
      </c>
      <c r="Q133" s="95">
        <f>VLOOKUP(B:B,'[3]דוח כספי 10.17 מעודכן'!A:D,4,0)</f>
        <v>0</v>
      </c>
      <c r="R133" s="95">
        <f>VLOOKUP(B:B,'[3]תשלומים 2017'!B:T,17,0)</f>
        <v>0</v>
      </c>
      <c r="S133" s="95">
        <f t="shared" si="41"/>
        <v>0</v>
      </c>
      <c r="T133" s="95">
        <v>0</v>
      </c>
      <c r="U133" s="110"/>
      <c r="V133" s="110"/>
      <c r="W133" s="97"/>
      <c r="X133" s="91"/>
      <c r="Y133" s="85"/>
      <c r="Z133" s="98"/>
      <c r="AA133" s="85"/>
      <c r="AB133" s="85"/>
      <c r="AC133" s="85"/>
      <c r="AD133" s="85"/>
      <c r="AE133" s="85"/>
      <c r="AF133" s="85"/>
      <c r="AG133" s="83">
        <f t="shared" si="42"/>
        <v>0</v>
      </c>
    </row>
    <row r="134" spans="1:34" ht="24.95" customHeight="1">
      <c r="A134" s="85">
        <v>19</v>
      </c>
      <c r="B134" s="92">
        <v>1811200810</v>
      </c>
      <c r="C134" s="109" t="str">
        <f t="shared" si="39"/>
        <v>810</v>
      </c>
      <c r="D134" s="109" t="str">
        <f t="shared" si="40"/>
        <v>811200</v>
      </c>
      <c r="E134" s="93" t="s">
        <v>464</v>
      </c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>
        <f>VLOOKUP(B:B,'[3]תשלומים 2017'!B:R,15,0)</f>
        <v>550000</v>
      </c>
      <c r="Q134" s="95">
        <f>VLOOKUP(B:B,'[3]דוח כספי 10.17 מעודכן'!A:D,4,0)</f>
        <v>399718</v>
      </c>
      <c r="R134" s="95">
        <v>450000</v>
      </c>
      <c r="S134" s="95">
        <f t="shared" si="41"/>
        <v>479661.60000000003</v>
      </c>
      <c r="T134" s="95">
        <v>480000</v>
      </c>
      <c r="U134" s="110"/>
      <c r="V134" s="110"/>
      <c r="W134" s="97"/>
      <c r="X134" s="91"/>
      <c r="Y134" s="85"/>
      <c r="Z134" s="98"/>
      <c r="AA134" s="85"/>
      <c r="AB134" s="85"/>
      <c r="AC134" s="85"/>
      <c r="AD134" s="85"/>
      <c r="AE134" s="85"/>
      <c r="AF134" s="85"/>
      <c r="AG134" s="83">
        <f t="shared" si="42"/>
        <v>150282</v>
      </c>
    </row>
    <row r="135" spans="1:34" s="1" customFormat="1" ht="24.95" customHeight="1">
      <c r="B135" s="28"/>
      <c r="C135" s="29"/>
      <c r="D135" s="29"/>
      <c r="E135" s="29" t="s">
        <v>465</v>
      </c>
      <c r="F135" s="30" t="e">
        <f>SUM(#REF!)</f>
        <v>#REF!</v>
      </c>
      <c r="G135" s="30" t="e">
        <f>SUM(#REF!)</f>
        <v>#REF!</v>
      </c>
      <c r="H135" s="30" t="e">
        <f>SUM(#REF!)</f>
        <v>#REF!</v>
      </c>
      <c r="I135" s="30" t="e">
        <f>SUM(#REF!)</f>
        <v>#REF!</v>
      </c>
      <c r="J135" s="30" t="e">
        <f>SUM(#REF!)</f>
        <v>#REF!</v>
      </c>
      <c r="K135" s="30" t="e">
        <f>SUM(#REF!)</f>
        <v>#REF!</v>
      </c>
      <c r="L135" s="30" t="e">
        <f>SUM(#REF!)</f>
        <v>#REF!</v>
      </c>
      <c r="M135" s="30" t="e">
        <f>SUM(#REF!)</f>
        <v>#REF!</v>
      </c>
      <c r="N135" s="30" t="e">
        <f>SUM(#REF!)</f>
        <v>#REF!</v>
      </c>
      <c r="O135" s="30" t="e">
        <f>SUM(#REF!)</f>
        <v>#REF!</v>
      </c>
      <c r="P135" s="30">
        <f t="shared" ref="P135:V135" si="43">SUM(P128:P134)</f>
        <v>1047000</v>
      </c>
      <c r="Q135" s="30">
        <f t="shared" si="43"/>
        <v>805370.44</v>
      </c>
      <c r="R135" s="30">
        <f t="shared" si="43"/>
        <v>1005000</v>
      </c>
      <c r="S135" s="30">
        <f t="shared" si="43"/>
        <v>1020531.52</v>
      </c>
      <c r="T135" s="30">
        <f t="shared" si="43"/>
        <v>1043000</v>
      </c>
      <c r="U135" s="112">
        <f t="shared" si="43"/>
        <v>2.48</v>
      </c>
      <c r="V135" s="112">
        <f t="shared" si="43"/>
        <v>2.4900000000000002</v>
      </c>
      <c r="W135" s="22"/>
      <c r="X135" s="23"/>
      <c r="Y135" s="5">
        <f>IF(ISBLANK(B135),1,--OR(L135&gt;1,M135&gt;1,N135&gt;1))</f>
        <v>1</v>
      </c>
      <c r="Z135" s="1" t="e">
        <f>+Q135-N135</f>
        <v>#REF!</v>
      </c>
      <c r="AG135" s="1">
        <f t="shared" si="42"/>
        <v>241629.56000000006</v>
      </c>
    </row>
    <row r="136" spans="1:34" ht="24.95" customHeight="1">
      <c r="A136" s="85">
        <v>19</v>
      </c>
      <c r="B136" s="92">
        <v>1812000560</v>
      </c>
      <c r="C136" s="109" t="str">
        <f t="shared" si="39"/>
        <v>560</v>
      </c>
      <c r="D136" s="109" t="str">
        <f t="shared" ref="D136:D148" si="44">MID(B136,2,6)</f>
        <v>812000</v>
      </c>
      <c r="E136" s="93" t="s">
        <v>466</v>
      </c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>
        <f>VLOOKUP(B:B,'[3]תשלומים 2017'!B:R,15,0)</f>
        <v>44000</v>
      </c>
      <c r="Q136" s="95">
        <f>VLOOKUP(B:B,'[3]דוח כספי 10.17 מעודכן'!A:D,4,0)</f>
        <v>6971</v>
      </c>
      <c r="R136" s="95">
        <f>VLOOKUP(B:B,'[3]תשלומים 2017'!B:T,17,0)</f>
        <v>9000</v>
      </c>
      <c r="S136" s="95">
        <f>Q136/10*12</f>
        <v>8365.2000000000007</v>
      </c>
      <c r="T136" s="95">
        <v>9000</v>
      </c>
      <c r="U136" s="110"/>
      <c r="V136" s="110"/>
      <c r="W136" s="97"/>
      <c r="X136" s="91"/>
      <c r="Y136" s="85"/>
      <c r="Z136" s="98"/>
      <c r="AA136" s="85"/>
      <c r="AB136" s="85"/>
      <c r="AC136" s="85"/>
      <c r="AD136" s="85"/>
      <c r="AE136" s="85"/>
      <c r="AF136" s="85"/>
      <c r="AG136" s="83">
        <f t="shared" si="42"/>
        <v>37029</v>
      </c>
    </row>
    <row r="137" spans="1:34" ht="24.95" customHeight="1">
      <c r="A137" s="85">
        <v>20</v>
      </c>
      <c r="B137" s="92">
        <v>1812200110</v>
      </c>
      <c r="C137" s="109" t="str">
        <f t="shared" si="39"/>
        <v>110</v>
      </c>
      <c r="D137" s="109" t="str">
        <f t="shared" si="44"/>
        <v>812200</v>
      </c>
      <c r="E137" s="93" t="s">
        <v>462</v>
      </c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>
        <f>VLOOKUP(B:B,'[3]תשלומים 2017'!B:R,15,0)</f>
        <v>3668000</v>
      </c>
      <c r="Q137" s="95">
        <f>VLOOKUP(B:B,'[3]דוח כספי 10.17 מעודכן'!A:D,4,0)</f>
        <v>2842845.45</v>
      </c>
      <c r="R137" s="95">
        <f>VLOOKUP(B:B,'[3]תשלומים 2017'!B:T,17,0)</f>
        <v>3910000</v>
      </c>
      <c r="S137" s="95">
        <f>Q137/9*12</f>
        <v>3790460.6</v>
      </c>
      <c r="T137" s="95">
        <v>3915000</v>
      </c>
      <c r="U137" s="96">
        <v>33.14</v>
      </c>
      <c r="V137" s="96">
        <f>33.14+3.14</f>
        <v>36.28</v>
      </c>
      <c r="W137" s="97"/>
      <c r="X137" s="91"/>
      <c r="Y137" s="85"/>
      <c r="Z137" s="98"/>
      <c r="AA137" s="85"/>
      <c r="AB137" s="85"/>
      <c r="AC137" s="85"/>
      <c r="AD137" s="85"/>
      <c r="AE137" s="85"/>
      <c r="AF137" s="85"/>
      <c r="AG137"/>
    </row>
    <row r="138" spans="1:34" ht="24.95" customHeight="1">
      <c r="A138" s="85">
        <v>19</v>
      </c>
      <c r="B138" s="92">
        <v>1812200410</v>
      </c>
      <c r="C138" s="109" t="str">
        <f t="shared" si="39"/>
        <v>410</v>
      </c>
      <c r="D138" s="109" t="str">
        <f t="shared" si="44"/>
        <v>812200</v>
      </c>
      <c r="E138" s="93" t="s">
        <v>467</v>
      </c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>
        <f>VLOOKUP(B:B,'[3]תשלומים 2017'!B:R,15,0)</f>
        <v>16000</v>
      </c>
      <c r="Q138" s="95">
        <f>VLOOKUP(B:B,'[3]דוח כספי 10.17 מעודכן'!A:D,4,0)</f>
        <v>0</v>
      </c>
      <c r="R138" s="95">
        <f>VLOOKUP(B:B,'[3]תשלומים 2017'!B:T,17,0)</f>
        <v>0</v>
      </c>
      <c r="S138" s="95">
        <f t="shared" ref="S138:S146" si="45">Q138/10*12</f>
        <v>0</v>
      </c>
      <c r="T138" s="95">
        <v>0</v>
      </c>
      <c r="U138" s="110"/>
      <c r="V138" s="110"/>
      <c r="W138" s="97"/>
      <c r="X138" s="91"/>
      <c r="Y138" s="85"/>
      <c r="Z138" s="98"/>
      <c r="AA138" s="85"/>
      <c r="AB138" s="85"/>
      <c r="AC138" s="85"/>
      <c r="AD138" s="85"/>
      <c r="AE138" s="85"/>
      <c r="AF138" s="85"/>
      <c r="AG138" s="83">
        <f t="shared" ref="AG138:AG150" si="46">P138-Q138</f>
        <v>16000</v>
      </c>
    </row>
    <row r="139" spans="1:34" ht="24.95" customHeight="1">
      <c r="A139" s="85">
        <v>19</v>
      </c>
      <c r="B139" s="92">
        <v>1812200431</v>
      </c>
      <c r="C139" s="109" t="str">
        <f t="shared" si="39"/>
        <v>431</v>
      </c>
      <c r="D139" s="109" t="str">
        <f t="shared" si="44"/>
        <v>812200</v>
      </c>
      <c r="E139" s="93" t="s">
        <v>468</v>
      </c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>
        <f>VLOOKUP(B:B,'[3]תשלומים 2017'!B:R,15,0)</f>
        <v>119000</v>
      </c>
      <c r="Q139" s="95">
        <f>VLOOKUP(B:B,'[3]דוח כספי 10.17 מעודכן'!A:D,4,0)</f>
        <v>84853.04</v>
      </c>
      <c r="R139" s="95">
        <f>VLOOKUP(B:B,'[3]תשלומים 2017'!B:T,17,0)</f>
        <v>119000</v>
      </c>
      <c r="S139" s="95">
        <f t="shared" si="45"/>
        <v>101823.648</v>
      </c>
      <c r="T139" s="95">
        <v>105000</v>
      </c>
      <c r="U139" s="110"/>
      <c r="V139" s="110"/>
      <c r="W139" s="97"/>
      <c r="X139" s="91"/>
      <c r="Y139" s="85"/>
      <c r="Z139" s="98"/>
      <c r="AA139" s="85"/>
      <c r="AB139" s="85"/>
      <c r="AC139" s="85"/>
      <c r="AD139" s="85"/>
      <c r="AE139" s="85"/>
      <c r="AF139" s="85"/>
      <c r="AG139" s="83">
        <f t="shared" si="46"/>
        <v>34146.960000000006</v>
      </c>
    </row>
    <row r="140" spans="1:34" ht="24.95" customHeight="1">
      <c r="A140" s="85">
        <v>19</v>
      </c>
      <c r="B140" s="92">
        <v>1812200450</v>
      </c>
      <c r="C140" s="109" t="str">
        <f t="shared" si="39"/>
        <v>450</v>
      </c>
      <c r="D140" s="109" t="str">
        <f t="shared" si="44"/>
        <v>812200</v>
      </c>
      <c r="E140" s="93" t="s">
        <v>469</v>
      </c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>
        <f>VLOOKUP(B:B,'[3]תשלומים 2017'!B:R,15,0)</f>
        <v>0</v>
      </c>
      <c r="Q140" s="95">
        <f>VLOOKUP(B:B,'[3]דוח כספי 10.17 מעודכן'!A:D,4,0)</f>
        <v>0</v>
      </c>
      <c r="R140" s="95">
        <f>VLOOKUP(B:B,'[3]תשלומים 2017'!B:T,17,0)</f>
        <v>0</v>
      </c>
      <c r="S140" s="95">
        <f t="shared" si="45"/>
        <v>0</v>
      </c>
      <c r="T140" s="95">
        <v>0</v>
      </c>
      <c r="U140" s="110"/>
      <c r="V140" s="110"/>
      <c r="W140" s="97"/>
      <c r="X140" s="91"/>
      <c r="Y140" s="85"/>
      <c r="Z140" s="98"/>
      <c r="AA140" s="85"/>
      <c r="AB140" s="85"/>
      <c r="AC140" s="85"/>
      <c r="AD140" s="85"/>
      <c r="AE140" s="85"/>
      <c r="AF140" s="85"/>
      <c r="AG140" s="83">
        <f t="shared" si="46"/>
        <v>0</v>
      </c>
      <c r="AH140">
        <v>0</v>
      </c>
    </row>
    <row r="141" spans="1:34" ht="24.95" customHeight="1">
      <c r="A141" s="85">
        <v>19</v>
      </c>
      <c r="B141" s="92">
        <v>1812200650</v>
      </c>
      <c r="C141" s="109" t="str">
        <f t="shared" si="39"/>
        <v>650</v>
      </c>
      <c r="D141" s="109" t="str">
        <f t="shared" si="44"/>
        <v>812200</v>
      </c>
      <c r="E141" s="93" t="s">
        <v>470</v>
      </c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>
        <f>VLOOKUP(B:B,'[3]תשלומים 2017'!B:R,15,0)</f>
        <v>0</v>
      </c>
      <c r="Q141" s="95">
        <f>VLOOKUP(B:B,'[3]דוח כספי 10.17 מעודכן'!A:D,4,0)</f>
        <v>71784</v>
      </c>
      <c r="R141" s="95">
        <f>VLOOKUP(B:B,'[3]תשלומים 2017'!B:T,17,0)</f>
        <v>73000</v>
      </c>
      <c r="S141" s="95">
        <f t="shared" si="45"/>
        <v>86140.799999999988</v>
      </c>
      <c r="T141" s="95">
        <v>87000</v>
      </c>
      <c r="U141" s="110"/>
      <c r="V141" s="110"/>
      <c r="W141" s="97"/>
      <c r="X141" s="91"/>
      <c r="Y141" s="85"/>
      <c r="Z141" s="98"/>
      <c r="AA141" s="85"/>
      <c r="AB141" s="85"/>
      <c r="AC141" s="85"/>
      <c r="AD141" s="85"/>
      <c r="AE141" s="85"/>
      <c r="AF141" s="85"/>
      <c r="AG141" s="83">
        <f t="shared" si="46"/>
        <v>-71784</v>
      </c>
    </row>
    <row r="142" spans="1:34" ht="24.95" customHeight="1">
      <c r="A142" s="85">
        <v>19</v>
      </c>
      <c r="B142" s="92">
        <v>1812200720</v>
      </c>
      <c r="C142" s="109" t="str">
        <f t="shared" si="39"/>
        <v>720</v>
      </c>
      <c r="D142" s="109" t="str">
        <f t="shared" si="44"/>
        <v>812200</v>
      </c>
      <c r="E142" s="93" t="s">
        <v>471</v>
      </c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>
        <f>VLOOKUP(B:B,'[3]תשלומים 2017'!B:R,15,0)</f>
        <v>15000</v>
      </c>
      <c r="Q142" s="95">
        <f>VLOOKUP(B:B,'[3]דוח כספי 10.17 מעודכן'!A:D,4,0)</f>
        <v>-51888</v>
      </c>
      <c r="R142" s="95">
        <f>VLOOKUP(B:B,'[3]תשלומים 2017'!B:T,17,0)</f>
        <v>0</v>
      </c>
      <c r="S142" s="95">
        <f t="shared" si="45"/>
        <v>-62265.600000000006</v>
      </c>
      <c r="T142" s="95">
        <v>0</v>
      </c>
      <c r="U142" s="110"/>
      <c r="V142" s="110"/>
      <c r="W142" s="97"/>
      <c r="X142" s="91"/>
      <c r="Y142" s="85"/>
      <c r="Z142" s="98"/>
      <c r="AA142" s="85"/>
      <c r="AB142" s="85"/>
      <c r="AC142" s="85"/>
      <c r="AD142" s="85"/>
      <c r="AE142" s="85"/>
      <c r="AF142" s="85"/>
      <c r="AG142" s="83">
        <f t="shared" si="46"/>
        <v>66888</v>
      </c>
    </row>
    <row r="143" spans="1:34" ht="24.95" customHeight="1">
      <c r="A143" s="85">
        <v>19</v>
      </c>
      <c r="B143" s="92">
        <v>1812200740</v>
      </c>
      <c r="C143" s="109" t="str">
        <f t="shared" si="39"/>
        <v>740</v>
      </c>
      <c r="D143" s="109" t="str">
        <f t="shared" si="44"/>
        <v>812200</v>
      </c>
      <c r="E143" s="93" t="s">
        <v>472</v>
      </c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>
        <f>VLOOKUP(B:B,'[3]תשלומים 2017'!B:R,15,0)</f>
        <v>128000</v>
      </c>
      <c r="Q143" s="95">
        <f>VLOOKUP(B:B,'[3]דוח כספי 10.17 מעודכן'!A:D,4,0)</f>
        <v>16289</v>
      </c>
      <c r="R143" s="95">
        <f>VLOOKUP(B:B,'[3]תשלומים 2017'!B:T,17,0)</f>
        <v>20000</v>
      </c>
      <c r="S143" s="95">
        <f t="shared" si="45"/>
        <v>19546.800000000003</v>
      </c>
      <c r="T143" s="95">
        <v>20000</v>
      </c>
      <c r="U143" s="110"/>
      <c r="V143" s="110"/>
      <c r="W143" s="97"/>
      <c r="X143" s="91"/>
      <c r="Y143" s="85"/>
      <c r="Z143" s="98"/>
      <c r="AA143" s="85"/>
      <c r="AB143" s="85"/>
      <c r="AC143" s="85"/>
      <c r="AD143" s="85"/>
      <c r="AE143" s="85"/>
      <c r="AF143" s="85"/>
      <c r="AG143" s="83">
        <f t="shared" si="46"/>
        <v>111711</v>
      </c>
    </row>
    <row r="144" spans="1:34" ht="24.95" customHeight="1">
      <c r="A144" s="85">
        <v>19</v>
      </c>
      <c r="B144" s="92">
        <v>1812200750</v>
      </c>
      <c r="C144" s="109" t="str">
        <f t="shared" si="39"/>
        <v>750</v>
      </c>
      <c r="D144" s="109" t="str">
        <f t="shared" si="44"/>
        <v>812200</v>
      </c>
      <c r="E144" s="93" t="s">
        <v>473</v>
      </c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>
        <f>VLOOKUP(B:B,'[3]תשלומים 2017'!B:R,15,0)</f>
        <v>80000</v>
      </c>
      <c r="Q144" s="95">
        <f>VLOOKUP(B:B,'[3]דוח כספי 10.17 מעודכן'!A:D,4,0)</f>
        <v>16244.37</v>
      </c>
      <c r="R144" s="95">
        <f>VLOOKUP(B:B,'[3]תשלומים 2017'!B:T,17,0)</f>
        <v>20000</v>
      </c>
      <c r="S144" s="95">
        <f t="shared" si="45"/>
        <v>19493.244000000002</v>
      </c>
      <c r="T144" s="95">
        <v>20000</v>
      </c>
      <c r="U144" s="110"/>
      <c r="V144" s="110"/>
      <c r="W144" s="97"/>
      <c r="X144" s="91"/>
      <c r="Y144" s="85"/>
      <c r="Z144" s="98"/>
      <c r="AA144" s="85"/>
      <c r="AB144" s="85"/>
      <c r="AC144" s="85"/>
      <c r="AD144" s="85"/>
      <c r="AE144" s="85"/>
      <c r="AF144" s="85"/>
      <c r="AG144" s="83">
        <f t="shared" si="46"/>
        <v>63755.63</v>
      </c>
      <c r="AH144">
        <v>0</v>
      </c>
    </row>
    <row r="145" spans="1:36" ht="24.95" customHeight="1">
      <c r="A145" s="85">
        <v>19</v>
      </c>
      <c r="B145" s="100">
        <v>1812200810</v>
      </c>
      <c r="C145" s="101" t="str">
        <f t="shared" si="39"/>
        <v>810</v>
      </c>
      <c r="D145" s="101" t="str">
        <f t="shared" si="44"/>
        <v>812200</v>
      </c>
      <c r="E145" s="102" t="s">
        <v>97</v>
      </c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>
        <f>VLOOKUP(B:B,'[3]תשלומים 2017'!B:R,15,0)</f>
        <v>1885000</v>
      </c>
      <c r="Q145" s="103">
        <f>VLOOKUP(B:B,'[3]דוח כספי 10.17 מעודכן'!A:D,4,0)</f>
        <v>1630984.26</v>
      </c>
      <c r="R145" s="103">
        <f>VLOOKUP(B:B,'[3]תשלומים 2017'!B:T,17,0)</f>
        <v>2154000</v>
      </c>
      <c r="S145" s="103">
        <f t="shared" si="45"/>
        <v>1957181.1120000002</v>
      </c>
      <c r="T145" s="103">
        <v>2155000</v>
      </c>
      <c r="U145" s="104"/>
      <c r="V145" s="104"/>
      <c r="W145" s="97"/>
      <c r="X145" s="91"/>
      <c r="Y145" s="85"/>
      <c r="Z145" s="98"/>
      <c r="AA145" s="85"/>
      <c r="AB145" s="85"/>
      <c r="AC145" s="85"/>
      <c r="AD145" s="85"/>
      <c r="AE145" s="85"/>
      <c r="AF145" s="85"/>
      <c r="AG145" s="83">
        <f t="shared" si="46"/>
        <v>254015.74</v>
      </c>
      <c r="AH145">
        <v>0</v>
      </c>
    </row>
    <row r="146" spans="1:36" s="108" customFormat="1" ht="24.95" customHeight="1">
      <c r="A146" s="99">
        <v>19</v>
      </c>
      <c r="B146" s="100">
        <v>1812210810</v>
      </c>
      <c r="C146" s="101" t="str">
        <f t="shared" si="39"/>
        <v>810</v>
      </c>
      <c r="D146" s="101" t="str">
        <f t="shared" si="44"/>
        <v>812210</v>
      </c>
      <c r="E146" s="102" t="s">
        <v>95</v>
      </c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>
        <f>VLOOKUP(B:B,'[3]תשלומים 2017'!B:R,15,0)</f>
        <v>0</v>
      </c>
      <c r="Q146" s="103">
        <f>VLOOKUP(B:B,'[3]דוח כספי 10.17 מעודכן'!A:D,4,0)</f>
        <v>0</v>
      </c>
      <c r="R146" s="103">
        <v>800000</v>
      </c>
      <c r="S146" s="103">
        <f t="shared" si="45"/>
        <v>0</v>
      </c>
      <c r="T146" s="103">
        <v>0</v>
      </c>
      <c r="U146" s="104"/>
      <c r="V146" s="104"/>
      <c r="W146" s="105"/>
      <c r="X146" s="106"/>
      <c r="Y146" s="99"/>
      <c r="Z146" s="107"/>
      <c r="AA146" s="99"/>
      <c r="AB146" s="99"/>
      <c r="AC146" s="99"/>
      <c r="AD146" s="99"/>
      <c r="AE146" s="99"/>
      <c r="AF146" s="99"/>
      <c r="AG146" s="115">
        <f t="shared" si="46"/>
        <v>0</v>
      </c>
      <c r="AH146" s="108">
        <v>0</v>
      </c>
      <c r="AI146" s="108" t="s">
        <v>474</v>
      </c>
    </row>
    <row r="147" spans="1:36" s="108" customFormat="1" ht="24.95" customHeight="1">
      <c r="A147" s="99">
        <v>19</v>
      </c>
      <c r="B147" s="100">
        <v>1812230810</v>
      </c>
      <c r="C147" s="101" t="str">
        <f t="shared" si="39"/>
        <v>810</v>
      </c>
      <c r="D147" s="101" t="str">
        <f t="shared" si="44"/>
        <v>812230</v>
      </c>
      <c r="E147" s="102" t="s">
        <v>95</v>
      </c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>
        <v>0</v>
      </c>
      <c r="Q147" s="103">
        <v>0</v>
      </c>
      <c r="R147" s="103">
        <v>0</v>
      </c>
      <c r="S147" s="103">
        <v>0</v>
      </c>
      <c r="T147" s="103">
        <v>750000</v>
      </c>
      <c r="U147" s="104"/>
      <c r="V147" s="104"/>
      <c r="W147" s="105"/>
      <c r="X147" s="106"/>
      <c r="Y147" s="99"/>
      <c r="Z147" s="107"/>
      <c r="AA147" s="99"/>
      <c r="AB147" s="99"/>
      <c r="AC147" s="99"/>
      <c r="AD147" s="99"/>
      <c r="AE147" s="99"/>
      <c r="AF147" s="99"/>
      <c r="AG147" s="115"/>
      <c r="AJ147" s="125"/>
    </row>
    <row r="148" spans="1:36" s="108" customFormat="1" ht="24.95" customHeight="1">
      <c r="A148" s="99">
        <v>20</v>
      </c>
      <c r="B148" s="100">
        <v>1812210110</v>
      </c>
      <c r="C148" s="127" t="str">
        <f t="shared" si="39"/>
        <v>110</v>
      </c>
      <c r="D148" s="127" t="str">
        <f t="shared" si="44"/>
        <v>812210</v>
      </c>
      <c r="E148" s="25" t="s">
        <v>475</v>
      </c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9">
        <v>0</v>
      </c>
      <c r="Q148" s="129">
        <v>0</v>
      </c>
      <c r="R148" s="129">
        <v>0</v>
      </c>
      <c r="S148" s="129">
        <v>0</v>
      </c>
      <c r="T148" s="129">
        <v>204000</v>
      </c>
      <c r="U148" s="96">
        <v>0</v>
      </c>
      <c r="V148" s="96">
        <v>2.04</v>
      </c>
      <c r="W148" s="105"/>
      <c r="X148" s="106"/>
      <c r="Y148" s="99"/>
      <c r="Z148" s="107"/>
      <c r="AA148" s="99"/>
      <c r="AB148" s="99"/>
      <c r="AC148" s="99"/>
      <c r="AD148" s="99"/>
      <c r="AE148" s="99"/>
      <c r="AF148" s="99"/>
      <c r="AI148" s="108" t="s">
        <v>476</v>
      </c>
    </row>
    <row r="149" spans="1:36" ht="24.95" customHeight="1">
      <c r="A149" s="85">
        <v>19</v>
      </c>
      <c r="B149" s="100">
        <v>1812200432</v>
      </c>
      <c r="C149" s="101">
        <v>432</v>
      </c>
      <c r="D149" s="101">
        <v>812200</v>
      </c>
      <c r="E149" s="102" t="s">
        <v>477</v>
      </c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>
        <v>0</v>
      </c>
      <c r="Q149" s="103">
        <v>0</v>
      </c>
      <c r="R149" s="103">
        <v>65000</v>
      </c>
      <c r="S149" s="103">
        <v>70170</v>
      </c>
      <c r="T149" s="103">
        <v>65000</v>
      </c>
      <c r="U149" s="104"/>
      <c r="V149" s="104"/>
      <c r="W149" s="97"/>
      <c r="X149" s="91"/>
      <c r="Y149" s="85"/>
      <c r="Z149" s="98"/>
      <c r="AA149" s="85"/>
      <c r="AB149" s="85"/>
      <c r="AC149" s="85"/>
      <c r="AD149" s="85"/>
      <c r="AE149" s="85"/>
      <c r="AF149" s="85"/>
    </row>
    <row r="150" spans="1:36" s="1" customFormat="1" ht="24.95" customHeight="1">
      <c r="B150" s="28"/>
      <c r="C150" s="29"/>
      <c r="D150" s="29"/>
      <c r="E150" s="29" t="s">
        <v>478</v>
      </c>
      <c r="F150" s="30" t="e">
        <f>SUM(#REF!)</f>
        <v>#REF!</v>
      </c>
      <c r="G150" s="30" t="e">
        <f>SUM(#REF!)</f>
        <v>#REF!</v>
      </c>
      <c r="H150" s="30" t="e">
        <f>SUM(#REF!)</f>
        <v>#REF!</v>
      </c>
      <c r="I150" s="30" t="e">
        <f>SUM(#REF!)</f>
        <v>#REF!</v>
      </c>
      <c r="J150" s="30" t="e">
        <f>SUM(#REF!)</f>
        <v>#REF!</v>
      </c>
      <c r="K150" s="30" t="e">
        <f>SUM(#REF!)</f>
        <v>#REF!</v>
      </c>
      <c r="L150" s="30" t="e">
        <f>SUM(#REF!)</f>
        <v>#REF!</v>
      </c>
      <c r="M150" s="30" t="e">
        <f>SUM(#REF!)</f>
        <v>#REF!</v>
      </c>
      <c r="N150" s="30" t="e">
        <f>SUM(#REF!)</f>
        <v>#REF!</v>
      </c>
      <c r="O150" s="30" t="e">
        <f>SUM(#REF!)</f>
        <v>#REF!</v>
      </c>
      <c r="P150" s="30">
        <f t="shared" ref="P150:R150" si="47">SUM(P136:P149)</f>
        <v>5955000</v>
      </c>
      <c r="Q150" s="30">
        <f t="shared" si="47"/>
        <v>4618083.12</v>
      </c>
      <c r="R150" s="30">
        <f t="shared" si="47"/>
        <v>7170000</v>
      </c>
      <c r="S150" s="30">
        <f>SUM(S136:S149)</f>
        <v>5990915.8039999995</v>
      </c>
      <c r="T150" s="30">
        <f>SUM(T136:T149)</f>
        <v>7330000</v>
      </c>
      <c r="U150" s="112">
        <f>SUM(U136:U146)</f>
        <v>33.14</v>
      </c>
      <c r="V150" s="112">
        <f>SUM(V136:V146)</f>
        <v>36.28</v>
      </c>
      <c r="W150" s="22"/>
      <c r="X150" s="23"/>
      <c r="Y150" s="5">
        <f>IF(ISBLANK(B150),1,--OR(L150&gt;1,M150&gt;1,N150&gt;1))</f>
        <v>1</v>
      </c>
      <c r="Z150" s="1">
        <v>0</v>
      </c>
      <c r="AG150" s="1">
        <f t="shared" si="46"/>
        <v>1336916.8799999999</v>
      </c>
      <c r="AH150" s="1">
        <v>0</v>
      </c>
    </row>
    <row r="151" spans="1:36" ht="24.95" customHeight="1">
      <c r="A151" s="85">
        <v>20</v>
      </c>
      <c r="B151" s="92">
        <v>1813200110</v>
      </c>
      <c r="C151" s="109" t="str">
        <f t="shared" si="39"/>
        <v>110</v>
      </c>
      <c r="D151" s="109" t="str">
        <f t="shared" ref="D151:D180" si="48">MID(B151,2,6)</f>
        <v>813200</v>
      </c>
      <c r="E151" s="93" t="s">
        <v>479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>
        <f>VLOOKUP(B:B,'[3]תשלומים 2017'!B:R,15,0)</f>
        <v>109000</v>
      </c>
      <c r="Q151" s="95">
        <f>VLOOKUP(B:B,'[3]דוח כספי 10.17 מעודכן'!A:D,4,0)</f>
        <v>90434.66</v>
      </c>
      <c r="R151" s="95">
        <v>117000</v>
      </c>
      <c r="S151" s="95">
        <f>Q151/9*12</f>
        <v>120579.54666666668</v>
      </c>
      <c r="T151" s="95">
        <v>118000</v>
      </c>
      <c r="U151" s="96">
        <v>1</v>
      </c>
      <c r="V151" s="96">
        <v>1</v>
      </c>
      <c r="W151" s="97"/>
      <c r="X151" s="91"/>
      <c r="Y151" s="85"/>
      <c r="Z151" s="98"/>
      <c r="AA151" s="85"/>
      <c r="AB151" s="85"/>
      <c r="AC151" s="85"/>
      <c r="AD151" s="85"/>
      <c r="AE151" s="85"/>
      <c r="AF151" s="85"/>
      <c r="AG151"/>
      <c r="AH151">
        <v>0</v>
      </c>
    </row>
    <row r="152" spans="1:36" ht="24.95" customHeight="1">
      <c r="A152" s="85">
        <v>19</v>
      </c>
      <c r="B152" s="92">
        <v>1813200420</v>
      </c>
      <c r="C152" s="109" t="str">
        <f t="shared" si="39"/>
        <v>420</v>
      </c>
      <c r="D152" s="109" t="str">
        <f t="shared" si="48"/>
        <v>813200</v>
      </c>
      <c r="E152" s="93" t="s">
        <v>480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>
        <f>VLOOKUP(B:B,'[3]תשלומים 2017'!B:R,15,0)</f>
        <v>39000</v>
      </c>
      <c r="Q152" s="95">
        <f>VLOOKUP(B:B,'[3]דוח כספי 10.17 מעודכן'!A:D,4,0)</f>
        <v>4601</v>
      </c>
      <c r="R152" s="95">
        <f>VLOOKUP(B:B,'[3]תשלומים 2017'!B:T,17,0)</f>
        <v>6000</v>
      </c>
      <c r="S152" s="95">
        <f t="shared" ref="S152:S163" si="49">Q152/10*12</f>
        <v>5521.2000000000007</v>
      </c>
      <c r="T152" s="95">
        <v>6000</v>
      </c>
      <c r="U152" s="110"/>
      <c r="V152" s="110"/>
      <c r="W152" s="97"/>
      <c r="X152" s="91"/>
      <c r="Y152" s="85"/>
      <c r="Z152" s="98"/>
      <c r="AA152" s="85"/>
      <c r="AB152" s="85"/>
      <c r="AC152" s="85"/>
      <c r="AD152" s="85"/>
      <c r="AE152" s="85"/>
      <c r="AF152" s="85"/>
      <c r="AG152" s="83">
        <f t="shared" ref="AG152:AG163" si="50">P152-Q152</f>
        <v>34399</v>
      </c>
    </row>
    <row r="153" spans="1:36" ht="24.95" customHeight="1">
      <c r="A153" s="85">
        <v>19</v>
      </c>
      <c r="B153" s="100">
        <v>1813200431</v>
      </c>
      <c r="C153" s="101" t="str">
        <f t="shared" si="39"/>
        <v>431</v>
      </c>
      <c r="D153" s="101" t="str">
        <f t="shared" si="48"/>
        <v>813200</v>
      </c>
      <c r="E153" s="102" t="s">
        <v>481</v>
      </c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>
        <f>VLOOKUP(B:B,'[3]תשלומים 2017'!B:R,15,0)</f>
        <v>199000</v>
      </c>
      <c r="Q153" s="103">
        <f>VLOOKUP(B:B,'[3]דוח כספי 10.17 מעודכן'!A:D,4,0)</f>
        <v>95541.68</v>
      </c>
      <c r="R153" s="103">
        <f>VLOOKUP(B:B,'[3]תשלומים 2017'!B:T,17,0)</f>
        <v>115000</v>
      </c>
      <c r="S153" s="103">
        <f t="shared" si="49"/>
        <v>114650.016</v>
      </c>
      <c r="T153" s="103">
        <v>115000</v>
      </c>
      <c r="U153" s="104"/>
      <c r="V153" s="104"/>
      <c r="W153" s="97"/>
      <c r="X153" s="91"/>
      <c r="Y153" s="85"/>
      <c r="Z153" s="98"/>
      <c r="AA153" s="85"/>
      <c r="AB153" s="85"/>
      <c r="AC153" s="85"/>
      <c r="AD153" s="85"/>
      <c r="AE153" s="85"/>
      <c r="AF153" s="85"/>
      <c r="AG153" s="83">
        <f t="shared" si="50"/>
        <v>103458.32</v>
      </c>
    </row>
    <row r="154" spans="1:36" ht="24.95" customHeight="1">
      <c r="A154" s="85">
        <v>19</v>
      </c>
      <c r="B154" s="100">
        <v>1813200432</v>
      </c>
      <c r="C154" s="101" t="str">
        <f t="shared" si="39"/>
        <v>432</v>
      </c>
      <c r="D154" s="101" t="str">
        <f t="shared" si="48"/>
        <v>813200</v>
      </c>
      <c r="E154" s="102" t="s">
        <v>325</v>
      </c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>
        <f>VLOOKUP(B:B,'[3]תשלומים 2017'!B:R,15,0)</f>
        <v>75000</v>
      </c>
      <c r="Q154" s="103">
        <f>VLOOKUP(B:B,'[3]דוח כספי 10.17 מעודכן'!A:D,4,0)</f>
        <v>24282</v>
      </c>
      <c r="R154" s="103">
        <f>VLOOKUP(B:B,'[3]תשלומים 2017'!B:T,17,0)</f>
        <v>24500</v>
      </c>
      <c r="S154" s="103">
        <v>24282</v>
      </c>
      <c r="T154" s="103">
        <v>24500</v>
      </c>
      <c r="U154" s="104"/>
      <c r="V154" s="104"/>
      <c r="W154" s="97"/>
      <c r="X154" s="91"/>
      <c r="Y154" s="85"/>
      <c r="Z154" s="98"/>
      <c r="AA154" s="85"/>
      <c r="AB154" s="85"/>
      <c r="AC154" s="85"/>
      <c r="AD154" s="85"/>
      <c r="AE154" s="85"/>
      <c r="AF154" s="85"/>
      <c r="AG154" s="83">
        <f t="shared" si="50"/>
        <v>50718</v>
      </c>
    </row>
    <row r="155" spans="1:36" ht="24.95" customHeight="1">
      <c r="A155" s="85">
        <v>19</v>
      </c>
      <c r="B155" s="100">
        <v>1813200433</v>
      </c>
      <c r="C155" s="101" t="str">
        <f t="shared" si="39"/>
        <v>433</v>
      </c>
      <c r="D155" s="101" t="str">
        <f t="shared" si="48"/>
        <v>813200</v>
      </c>
      <c r="E155" s="102" t="s">
        <v>482</v>
      </c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>
        <f>VLOOKUP(B:B,'[3]תשלומים 2017'!B:R,15,0)</f>
        <v>2000</v>
      </c>
      <c r="Q155" s="103">
        <f>VLOOKUP(B:B,'[3]דוח כספי 10.17 מעודכן'!A:D,4,0)</f>
        <v>1590</v>
      </c>
      <c r="R155" s="103">
        <f>VLOOKUP(B:B,'[3]תשלומים 2017'!B:T,17,0)</f>
        <v>2000</v>
      </c>
      <c r="S155" s="103">
        <f t="shared" si="49"/>
        <v>1908</v>
      </c>
      <c r="T155" s="103">
        <v>2000</v>
      </c>
      <c r="U155" s="104"/>
      <c r="V155" s="104"/>
      <c r="W155" s="97"/>
      <c r="X155" s="91"/>
      <c r="Y155" s="85"/>
      <c r="Z155" s="98"/>
      <c r="AA155" s="85"/>
      <c r="AB155" s="85"/>
      <c r="AC155" s="85"/>
      <c r="AD155" s="85"/>
      <c r="AE155" s="85"/>
      <c r="AF155" s="85"/>
      <c r="AG155" s="83">
        <f t="shared" si="50"/>
        <v>410</v>
      </c>
    </row>
    <row r="156" spans="1:36" ht="24.95" customHeight="1">
      <c r="A156" s="85">
        <v>19</v>
      </c>
      <c r="B156" s="100">
        <v>1813200440</v>
      </c>
      <c r="C156" s="101" t="str">
        <f t="shared" si="39"/>
        <v>440</v>
      </c>
      <c r="D156" s="101" t="str">
        <f t="shared" si="48"/>
        <v>813200</v>
      </c>
      <c r="E156" s="102" t="s">
        <v>354</v>
      </c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>
        <f>VLOOKUP(B:B,'[3]תשלומים 2017'!B:R,15,0)</f>
        <v>150000</v>
      </c>
      <c r="Q156" s="103">
        <f>VLOOKUP(B:B,'[3]דוח כספי 10.17 מעודכן'!A:D,4,0)</f>
        <v>36828.400000000001</v>
      </c>
      <c r="R156" s="103">
        <v>150000</v>
      </c>
      <c r="S156" s="103">
        <f t="shared" si="49"/>
        <v>44194.080000000002</v>
      </c>
      <c r="T156" s="103">
        <v>150000</v>
      </c>
      <c r="U156" s="104"/>
      <c r="V156" s="104"/>
      <c r="W156" s="97"/>
      <c r="X156" s="91"/>
      <c r="Y156" s="85"/>
      <c r="Z156" s="98"/>
      <c r="AA156" s="85"/>
      <c r="AB156" s="85"/>
      <c r="AC156" s="85"/>
      <c r="AD156" s="85"/>
      <c r="AE156" s="85"/>
      <c r="AF156" s="85"/>
      <c r="AG156" s="83">
        <f t="shared" si="50"/>
        <v>113171.6</v>
      </c>
      <c r="AH156">
        <v>0</v>
      </c>
    </row>
    <row r="157" spans="1:36" ht="24.95" customHeight="1">
      <c r="A157" s="85">
        <v>19</v>
      </c>
      <c r="B157" s="100">
        <v>1813200450</v>
      </c>
      <c r="C157" s="101" t="str">
        <f t="shared" si="39"/>
        <v>450</v>
      </c>
      <c r="D157" s="101" t="str">
        <f t="shared" si="48"/>
        <v>813200</v>
      </c>
      <c r="E157" s="102" t="s">
        <v>483</v>
      </c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>
        <f>VLOOKUP(B:B,'[3]תשלומים 2017'!B:R,15,0)</f>
        <v>9000</v>
      </c>
      <c r="Q157" s="103">
        <f>VLOOKUP(B:B,'[3]דוח כספי 10.17 מעודכן'!A:D,4,0)</f>
        <v>0</v>
      </c>
      <c r="R157" s="103">
        <f>VLOOKUP(B:B,'[3]תשלומים 2017'!B:T,17,0)</f>
        <v>0</v>
      </c>
      <c r="S157" s="103">
        <f t="shared" si="49"/>
        <v>0</v>
      </c>
      <c r="T157" s="103">
        <v>0</v>
      </c>
      <c r="U157" s="104"/>
      <c r="V157" s="104"/>
      <c r="W157" s="97"/>
      <c r="X157" s="91"/>
      <c r="Y157" s="85"/>
      <c r="Z157" s="98"/>
      <c r="AA157" s="85"/>
      <c r="AB157" s="85"/>
      <c r="AC157" s="85"/>
      <c r="AD157" s="85"/>
      <c r="AE157" s="85"/>
      <c r="AF157" s="85"/>
      <c r="AG157" s="83">
        <f t="shared" si="50"/>
        <v>9000</v>
      </c>
      <c r="AH157">
        <v>0</v>
      </c>
    </row>
    <row r="158" spans="1:36" ht="24.95" customHeight="1">
      <c r="A158" s="85">
        <v>19</v>
      </c>
      <c r="B158" s="100">
        <v>1813200470</v>
      </c>
      <c r="C158" s="101" t="str">
        <f t="shared" si="39"/>
        <v>470</v>
      </c>
      <c r="D158" s="101" t="str">
        <f t="shared" si="48"/>
        <v>813200</v>
      </c>
      <c r="E158" s="102" t="s">
        <v>484</v>
      </c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>
        <f>VLOOKUP(B:B,'[3]תשלומים 2017'!B:R,15,0)</f>
        <v>43000</v>
      </c>
      <c r="Q158" s="103">
        <f>VLOOKUP(B:B,'[3]דוח כספי 10.17 מעודכן'!A:D,4,0)</f>
        <v>30447</v>
      </c>
      <c r="R158" s="103">
        <f>VLOOKUP(B:B,'[3]תשלומים 2017'!B:T,17,0)</f>
        <v>40000</v>
      </c>
      <c r="S158" s="103">
        <f t="shared" si="49"/>
        <v>36536.399999999994</v>
      </c>
      <c r="T158" s="103">
        <v>37000</v>
      </c>
      <c r="U158" s="104"/>
      <c r="V158" s="104"/>
      <c r="W158" s="97"/>
      <c r="X158" s="91"/>
      <c r="Y158" s="85"/>
      <c r="Z158" s="98"/>
      <c r="AA158" s="85"/>
      <c r="AB158" s="85"/>
      <c r="AC158" s="85"/>
      <c r="AD158" s="85"/>
      <c r="AE158" s="85"/>
      <c r="AF158" s="85"/>
      <c r="AG158" s="83">
        <f t="shared" si="50"/>
        <v>12553</v>
      </c>
      <c r="AH158">
        <v>0</v>
      </c>
    </row>
    <row r="159" spans="1:36" ht="24.95" customHeight="1">
      <c r="A159" s="85">
        <v>19</v>
      </c>
      <c r="B159" s="100">
        <v>1813200540</v>
      </c>
      <c r="C159" s="101" t="str">
        <f t="shared" si="39"/>
        <v>540</v>
      </c>
      <c r="D159" s="101" t="str">
        <f t="shared" si="48"/>
        <v>813200</v>
      </c>
      <c r="E159" s="102" t="s">
        <v>485</v>
      </c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>
        <f>VLOOKUP(B:B,'[3]תשלומים 2017'!B:R,15,0)</f>
        <v>21000</v>
      </c>
      <c r="Q159" s="103">
        <f>VLOOKUP(B:B,'[3]דוח כספי 10.17 מעודכן'!A:D,4,0)</f>
        <v>28950.81</v>
      </c>
      <c r="R159" s="103">
        <f>VLOOKUP(B:B,'[3]תשלומים 2017'!B:T,17,0)</f>
        <v>35000</v>
      </c>
      <c r="S159" s="103">
        <f t="shared" si="49"/>
        <v>34740.972000000002</v>
      </c>
      <c r="T159" s="103">
        <v>35000</v>
      </c>
      <c r="U159" s="104"/>
      <c r="V159" s="104"/>
      <c r="W159" s="97"/>
      <c r="X159" s="91"/>
      <c r="Y159" s="85"/>
      <c r="Z159" s="98"/>
      <c r="AA159" s="85"/>
      <c r="AB159" s="85"/>
      <c r="AC159" s="85"/>
      <c r="AD159" s="85"/>
      <c r="AE159" s="85"/>
      <c r="AF159" s="85"/>
      <c r="AG159" s="83">
        <f t="shared" si="50"/>
        <v>-7950.8100000000013</v>
      </c>
      <c r="AH159">
        <v>0</v>
      </c>
    </row>
    <row r="160" spans="1:36" ht="24.95" customHeight="1">
      <c r="A160" s="85">
        <v>19</v>
      </c>
      <c r="B160" s="92">
        <v>1813200560</v>
      </c>
      <c r="C160" s="109" t="str">
        <f t="shared" si="39"/>
        <v>560</v>
      </c>
      <c r="D160" s="109" t="str">
        <f t="shared" si="48"/>
        <v>813200</v>
      </c>
      <c r="E160" s="93" t="s">
        <v>486</v>
      </c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>
        <f>VLOOKUP(B:B,'[3]תשלומים 2017'!B:R,15,0)</f>
        <v>107000</v>
      </c>
      <c r="Q160" s="95">
        <f>VLOOKUP(B:B,'[3]דוח כספי 10.17 מעודכן'!A:D,4,0)</f>
        <v>17654</v>
      </c>
      <c r="R160" s="95">
        <f>VLOOKUP(B:B,'[3]תשלומים 2017'!B:T,17,0)</f>
        <v>22000</v>
      </c>
      <c r="S160" s="95">
        <f t="shared" si="49"/>
        <v>21184.800000000003</v>
      </c>
      <c r="T160" s="95">
        <v>22000</v>
      </c>
      <c r="U160" s="110"/>
      <c r="V160" s="110"/>
      <c r="W160" s="97"/>
      <c r="X160" s="91"/>
      <c r="Y160" s="85"/>
      <c r="Z160" s="98"/>
      <c r="AA160" s="85"/>
      <c r="AB160" s="85"/>
      <c r="AC160" s="85"/>
      <c r="AD160" s="85"/>
      <c r="AE160" s="85"/>
      <c r="AF160" s="85"/>
      <c r="AG160" s="83">
        <f t="shared" si="50"/>
        <v>89346</v>
      </c>
      <c r="AH160">
        <v>0</v>
      </c>
    </row>
    <row r="161" spans="1:35" ht="24.95" customHeight="1">
      <c r="A161" s="85">
        <v>19</v>
      </c>
      <c r="B161" s="92">
        <v>1813200720</v>
      </c>
      <c r="C161" s="109" t="str">
        <f t="shared" si="39"/>
        <v>720</v>
      </c>
      <c r="D161" s="109" t="str">
        <f t="shared" si="48"/>
        <v>813200</v>
      </c>
      <c r="E161" s="93" t="s">
        <v>487</v>
      </c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>
        <f>VLOOKUP(B:B,'[3]תשלומים 2017'!B:R,15,0)</f>
        <v>0</v>
      </c>
      <c r="Q161" s="95">
        <f>VLOOKUP(B:B,'[3]דוח כספי 10.17 מעודכן'!A:D,4,0)</f>
        <v>0</v>
      </c>
      <c r="R161" s="95">
        <f>VLOOKUP(B:B,'[3]תשלומים 2017'!B:T,17,0)</f>
        <v>0</v>
      </c>
      <c r="S161" s="95">
        <f t="shared" si="49"/>
        <v>0</v>
      </c>
      <c r="T161" s="95">
        <v>0</v>
      </c>
      <c r="U161" s="110"/>
      <c r="V161" s="110"/>
      <c r="W161" s="97"/>
      <c r="X161" s="91"/>
      <c r="Y161" s="85"/>
      <c r="Z161" s="98"/>
      <c r="AA161" s="85"/>
      <c r="AB161" s="85"/>
      <c r="AC161" s="85"/>
      <c r="AD161" s="85"/>
      <c r="AE161" s="85"/>
      <c r="AF161" s="85"/>
      <c r="AG161" s="83">
        <f t="shared" si="50"/>
        <v>0</v>
      </c>
      <c r="AH161">
        <v>0</v>
      </c>
    </row>
    <row r="162" spans="1:35" ht="24.95" customHeight="1">
      <c r="A162" s="85">
        <v>19</v>
      </c>
      <c r="B162" s="92">
        <v>1813200750</v>
      </c>
      <c r="C162" s="109" t="str">
        <f t="shared" si="39"/>
        <v>750</v>
      </c>
      <c r="D162" s="109" t="str">
        <f t="shared" si="48"/>
        <v>813200</v>
      </c>
      <c r="E162" s="93" t="s">
        <v>402</v>
      </c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>
        <f>VLOOKUP(B:B,'[3]תשלומים 2017'!B:R,15,0)</f>
        <v>35000</v>
      </c>
      <c r="Q162" s="95">
        <f>VLOOKUP(B:B,'[3]דוח כספי 10.17 מעודכן'!A:D,4,0)</f>
        <v>-23246</v>
      </c>
      <c r="R162" s="95">
        <f>VLOOKUP(B:B,'[3]תשלומים 2017'!B:T,17,0)</f>
        <v>0</v>
      </c>
      <c r="S162" s="95">
        <f t="shared" si="49"/>
        <v>-27895.199999999997</v>
      </c>
      <c r="T162" s="95">
        <v>0</v>
      </c>
      <c r="U162" s="110"/>
      <c r="V162" s="110"/>
      <c r="W162" s="97"/>
      <c r="X162" s="91"/>
      <c r="Y162" s="85"/>
      <c r="Z162" s="98"/>
      <c r="AA162" s="85"/>
      <c r="AB162" s="85"/>
      <c r="AC162" s="85"/>
      <c r="AD162" s="85"/>
      <c r="AE162" s="85"/>
      <c r="AF162" s="85"/>
      <c r="AG162" s="83">
        <f t="shared" si="50"/>
        <v>58246</v>
      </c>
      <c r="AH162">
        <v>0</v>
      </c>
    </row>
    <row r="163" spans="1:35" ht="24.95" customHeight="1">
      <c r="A163" s="85">
        <v>19</v>
      </c>
      <c r="B163" s="92">
        <v>1813200930</v>
      </c>
      <c r="C163" s="109" t="str">
        <f t="shared" si="39"/>
        <v>930</v>
      </c>
      <c r="D163" s="109" t="str">
        <f t="shared" si="48"/>
        <v>813200</v>
      </c>
      <c r="E163" s="93" t="s">
        <v>390</v>
      </c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>
        <f>VLOOKUP(B:B,'[3]תשלומים 2017'!B:R,15,0)</f>
        <v>40000</v>
      </c>
      <c r="Q163" s="95">
        <f>VLOOKUP(B:B,'[3]דוח כספי 10.17 מעודכן'!A:D,4,0)</f>
        <v>0</v>
      </c>
      <c r="R163" s="95">
        <f>VLOOKUP(B:B,'[3]תשלומים 2017'!B:T,17,0)</f>
        <v>0</v>
      </c>
      <c r="S163" s="95">
        <f t="shared" si="49"/>
        <v>0</v>
      </c>
      <c r="T163" s="95">
        <v>15000</v>
      </c>
      <c r="U163" s="110"/>
      <c r="V163" s="110"/>
      <c r="W163" s="97"/>
      <c r="X163" s="91"/>
      <c r="Y163" s="85"/>
      <c r="Z163" s="98"/>
      <c r="AA163" s="85"/>
      <c r="AB163" s="85"/>
      <c r="AC163" s="85"/>
      <c r="AD163" s="85"/>
      <c r="AE163" s="85"/>
      <c r="AF163" s="85"/>
      <c r="AG163" s="83">
        <f t="shared" si="50"/>
        <v>40000</v>
      </c>
    </row>
    <row r="164" spans="1:35" ht="24.95" customHeight="1">
      <c r="A164" s="85">
        <v>20</v>
      </c>
      <c r="B164" s="92">
        <v>1813210110</v>
      </c>
      <c r="C164" s="109" t="str">
        <f t="shared" si="39"/>
        <v>110</v>
      </c>
      <c r="D164" s="109" t="str">
        <f t="shared" si="48"/>
        <v>813210</v>
      </c>
      <c r="E164" s="93" t="s">
        <v>488</v>
      </c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>
        <f>VLOOKUP(B:B,'[3]תשלומים 2017'!B:R,15,0)</f>
        <v>348000</v>
      </c>
      <c r="Q164" s="95">
        <f>VLOOKUP(B:B,'[3]דוח כספי 10.17 מעודכן'!A:D,4,0)</f>
        <v>341853.44</v>
      </c>
      <c r="R164" s="95">
        <f>VLOOKUP(B:B,'[3]תשלומים 2017'!B:T,17,0)</f>
        <v>456000</v>
      </c>
      <c r="S164" s="95">
        <f>Q164/9*12</f>
        <v>455804.58666666667</v>
      </c>
      <c r="T164" s="95">
        <v>450000</v>
      </c>
      <c r="U164" s="96">
        <v>3.1</v>
      </c>
      <c r="V164" s="96">
        <v>3.1</v>
      </c>
      <c r="W164" s="97"/>
      <c r="X164" s="91"/>
      <c r="Y164" s="85"/>
      <c r="Z164" s="98"/>
      <c r="AA164" s="85"/>
      <c r="AB164" s="85"/>
      <c r="AC164" s="85"/>
      <c r="AD164" s="85"/>
      <c r="AE164" s="85"/>
      <c r="AF164" s="85"/>
      <c r="AG164"/>
      <c r="AH164">
        <v>0</v>
      </c>
    </row>
    <row r="165" spans="1:35" ht="24.95" customHeight="1">
      <c r="A165" s="85">
        <v>19</v>
      </c>
      <c r="B165" s="92">
        <v>1813210470</v>
      </c>
      <c r="C165" s="109" t="str">
        <f t="shared" si="39"/>
        <v>470</v>
      </c>
      <c r="D165" s="109" t="str">
        <f t="shared" si="48"/>
        <v>813210</v>
      </c>
      <c r="E165" s="93" t="s">
        <v>489</v>
      </c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>
        <f>VLOOKUP(B:B,'[3]תשלומים 2017'!B:R,15,0)</f>
        <v>0</v>
      </c>
      <c r="Q165" s="95">
        <f>VLOOKUP(B:B,'[3]דוח כספי 10.17 מעודכן'!A:D,4,0)</f>
        <v>200672</v>
      </c>
      <c r="R165" s="95">
        <f>VLOOKUP(B:B,'[3]תשלומים 2017'!B:T,17,0)</f>
        <v>201000</v>
      </c>
      <c r="S165" s="95">
        <f>Q165/10*12</f>
        <v>240806.40000000002</v>
      </c>
      <c r="T165" s="95">
        <v>0</v>
      </c>
      <c r="U165" s="110"/>
      <c r="V165" s="110"/>
      <c r="W165" s="97"/>
      <c r="X165" s="91"/>
      <c r="Y165" s="85"/>
      <c r="Z165" s="98"/>
      <c r="AA165" s="85"/>
      <c r="AB165" s="85"/>
      <c r="AC165" s="85"/>
      <c r="AD165" s="85"/>
      <c r="AE165" s="85"/>
      <c r="AF165" s="85"/>
      <c r="AG165" s="83">
        <f>P165-Q165</f>
        <v>-200672</v>
      </c>
    </row>
    <row r="166" spans="1:35" ht="24.95" customHeight="1">
      <c r="A166" s="85">
        <v>19</v>
      </c>
      <c r="B166" s="92">
        <v>1813210570</v>
      </c>
      <c r="C166" s="109" t="str">
        <f t="shared" si="39"/>
        <v>570</v>
      </c>
      <c r="D166" s="109" t="str">
        <f t="shared" si="48"/>
        <v>813210</v>
      </c>
      <c r="E166" s="93" t="s">
        <v>490</v>
      </c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>
        <f>VLOOKUP(B:B,'[3]תשלומים 2017'!B:R,15,0)</f>
        <v>0</v>
      </c>
      <c r="Q166" s="95">
        <f>VLOOKUP(B:B,'[3]דוח כספי 10.17 מעודכן'!A:D,4,0)</f>
        <v>68150</v>
      </c>
      <c r="R166" s="95">
        <f>VLOOKUP(B:B,'[3]תשלומים 2017'!B:T,17,0)</f>
        <v>82000</v>
      </c>
      <c r="S166" s="95">
        <f>Q166/10*12</f>
        <v>81780</v>
      </c>
      <c r="T166" s="95">
        <v>82000</v>
      </c>
      <c r="U166" s="110"/>
      <c r="V166" s="110"/>
      <c r="W166" s="97"/>
      <c r="X166" s="91"/>
      <c r="Y166" s="85"/>
      <c r="Z166" s="98"/>
      <c r="AA166" s="85"/>
      <c r="AB166" s="85"/>
      <c r="AC166" s="85"/>
      <c r="AD166" s="85"/>
      <c r="AE166" s="85"/>
      <c r="AF166" s="85"/>
      <c r="AG166" s="83">
        <f>P166-Q166</f>
        <v>-68150</v>
      </c>
    </row>
    <row r="167" spans="1:35" ht="24.95" customHeight="1">
      <c r="A167" s="85">
        <v>19</v>
      </c>
      <c r="B167" s="92">
        <v>1813210750</v>
      </c>
      <c r="C167" s="109" t="str">
        <f t="shared" si="39"/>
        <v>750</v>
      </c>
      <c r="D167" s="109" t="str">
        <f t="shared" si="48"/>
        <v>813210</v>
      </c>
      <c r="E167" s="93" t="s">
        <v>491</v>
      </c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>
        <f>VLOOKUP(B:B,'[3]תשלומים 2017'!B:R,15,0)</f>
        <v>0</v>
      </c>
      <c r="Q167" s="95">
        <f>VLOOKUP(B:B,'[3]דוח כספי 10.17 מעודכן'!A:D,4,0)</f>
        <v>33497</v>
      </c>
      <c r="R167" s="95">
        <f>VLOOKUP(B:B,'[3]תשלומים 2017'!B:T,17,0)</f>
        <v>40000</v>
      </c>
      <c r="S167" s="95">
        <f>Q167/10*12</f>
        <v>40196.399999999994</v>
      </c>
      <c r="T167" s="95">
        <v>50000</v>
      </c>
      <c r="U167" s="110"/>
      <c r="V167" s="110"/>
      <c r="W167" s="97"/>
      <c r="X167" s="91"/>
      <c r="Y167" s="85"/>
      <c r="Z167" s="98"/>
      <c r="AA167" s="85"/>
      <c r="AB167" s="85"/>
      <c r="AC167" s="85"/>
      <c r="AD167" s="85"/>
      <c r="AE167" s="85"/>
      <c r="AF167" s="85"/>
      <c r="AG167" s="83">
        <f>P167-Q167</f>
        <v>-33497</v>
      </c>
    </row>
    <row r="168" spans="1:35" ht="24.95" customHeight="1">
      <c r="A168" s="85">
        <v>20</v>
      </c>
      <c r="B168" s="92">
        <v>1813220110</v>
      </c>
      <c r="C168" s="109" t="str">
        <f t="shared" si="39"/>
        <v>110</v>
      </c>
      <c r="D168" s="109" t="str">
        <f t="shared" si="48"/>
        <v>813220</v>
      </c>
      <c r="E168" s="93" t="s">
        <v>492</v>
      </c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>
        <f>VLOOKUP(B:B,'[3]תשלומים 2017'!B:R,15,0)</f>
        <v>0</v>
      </c>
      <c r="Q168" s="95">
        <f>VLOOKUP(B:B,'[3]דוח כספי 10.17 מעודכן'!A:D,4,0)</f>
        <v>0</v>
      </c>
      <c r="R168" s="95">
        <f>VLOOKUP(B:B,'[3]תשלומים 2017'!B:T,17,0)</f>
        <v>0</v>
      </c>
      <c r="S168" s="95">
        <f>Q168/9*12</f>
        <v>0</v>
      </c>
      <c r="T168" s="95">
        <v>0</v>
      </c>
      <c r="U168" s="96"/>
      <c r="V168" s="96"/>
      <c r="W168" s="97"/>
      <c r="X168" s="91"/>
      <c r="Y168" s="85"/>
      <c r="Z168" s="98"/>
      <c r="AA168" s="85"/>
      <c r="AB168" s="85"/>
      <c r="AC168" s="85"/>
      <c r="AD168" s="85"/>
      <c r="AE168" s="85"/>
      <c r="AF168" s="85"/>
      <c r="AG168"/>
    </row>
    <row r="169" spans="1:35" ht="24.95" customHeight="1">
      <c r="A169" s="85">
        <v>19</v>
      </c>
      <c r="B169" s="92">
        <v>1813301430</v>
      </c>
      <c r="C169" s="109" t="str">
        <f t="shared" si="39"/>
        <v>430</v>
      </c>
      <c r="D169" s="109" t="str">
        <f t="shared" si="48"/>
        <v>813301</v>
      </c>
      <c r="E169" s="93" t="s">
        <v>493</v>
      </c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>
        <v>0</v>
      </c>
      <c r="Q169" s="95">
        <v>0</v>
      </c>
      <c r="R169" s="95">
        <v>0</v>
      </c>
      <c r="S169" s="95">
        <v>0</v>
      </c>
      <c r="T169" s="95">
        <v>275000</v>
      </c>
      <c r="U169" s="104"/>
      <c r="V169" s="104"/>
      <c r="W169" s="97"/>
      <c r="X169" s="91"/>
      <c r="Y169" s="85"/>
      <c r="Z169" s="98"/>
      <c r="AA169" s="85"/>
      <c r="AB169" s="85"/>
      <c r="AC169" s="85"/>
      <c r="AD169" s="85"/>
      <c r="AE169" s="85"/>
      <c r="AF169" s="85"/>
      <c r="AG169"/>
      <c r="AI169" t="s">
        <v>476</v>
      </c>
    </row>
    <row r="170" spans="1:35" ht="24.95" customHeight="1">
      <c r="A170" s="85">
        <v>19</v>
      </c>
      <c r="B170" s="92">
        <v>1813302430</v>
      </c>
      <c r="C170" s="109" t="str">
        <f t="shared" si="39"/>
        <v>430</v>
      </c>
      <c r="D170" s="109" t="str">
        <f t="shared" si="48"/>
        <v>813302</v>
      </c>
      <c r="E170" s="93" t="s">
        <v>494</v>
      </c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>
        <v>0</v>
      </c>
      <c r="Q170" s="95">
        <v>0</v>
      </c>
      <c r="R170" s="95">
        <v>0</v>
      </c>
      <c r="S170" s="95">
        <v>0</v>
      </c>
      <c r="T170" s="95">
        <v>301000</v>
      </c>
      <c r="U170" s="104"/>
      <c r="V170" s="104"/>
      <c r="W170" s="97"/>
      <c r="X170" s="91"/>
      <c r="Y170" s="85"/>
      <c r="Z170" s="98"/>
      <c r="AA170" s="85"/>
      <c r="AB170" s="85"/>
      <c r="AC170" s="85"/>
      <c r="AD170" s="85"/>
      <c r="AE170" s="85"/>
      <c r="AF170" s="85"/>
      <c r="AG170"/>
      <c r="AI170" t="s">
        <v>476</v>
      </c>
    </row>
    <row r="171" spans="1:35" ht="24.95" customHeight="1">
      <c r="A171" s="85">
        <v>19</v>
      </c>
      <c r="B171" s="92">
        <v>1813303430</v>
      </c>
      <c r="C171" s="109" t="str">
        <f t="shared" si="39"/>
        <v>430</v>
      </c>
      <c r="D171" s="109" t="str">
        <f t="shared" si="48"/>
        <v>813303</v>
      </c>
      <c r="E171" s="93" t="s">
        <v>495</v>
      </c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>
        <v>0</v>
      </c>
      <c r="Q171" s="95">
        <v>0</v>
      </c>
      <c r="R171" s="95">
        <v>0</v>
      </c>
      <c r="S171" s="95">
        <v>0</v>
      </c>
      <c r="T171" s="95">
        <v>185000</v>
      </c>
      <c r="U171" s="104"/>
      <c r="V171" s="104"/>
      <c r="W171" s="97"/>
      <c r="X171" s="91"/>
      <c r="Y171" s="85"/>
      <c r="Z171" s="98"/>
      <c r="AA171" s="85"/>
      <c r="AB171" s="85"/>
      <c r="AC171" s="85"/>
      <c r="AD171" s="85"/>
      <c r="AE171" s="85"/>
      <c r="AF171" s="85"/>
      <c r="AG171"/>
      <c r="AI171" t="s">
        <v>476</v>
      </c>
    </row>
    <row r="172" spans="1:35" s="1" customFormat="1" ht="24.95" customHeight="1">
      <c r="B172" s="28"/>
      <c r="C172" s="29"/>
      <c r="D172" s="29"/>
      <c r="E172" s="29" t="s">
        <v>496</v>
      </c>
      <c r="F172" s="30" t="e">
        <f>SUM(#REF!)</f>
        <v>#REF!</v>
      </c>
      <c r="G172" s="30" t="e">
        <f>SUM(#REF!)</f>
        <v>#REF!</v>
      </c>
      <c r="H172" s="30" t="e">
        <f>SUM(#REF!)</f>
        <v>#REF!</v>
      </c>
      <c r="I172" s="30" t="e">
        <f>SUM(#REF!)</f>
        <v>#REF!</v>
      </c>
      <c r="J172" s="30" t="e">
        <f>SUM(#REF!)</f>
        <v>#REF!</v>
      </c>
      <c r="K172" s="30" t="e">
        <f>SUM(#REF!)</f>
        <v>#REF!</v>
      </c>
      <c r="L172" s="30" t="e">
        <f>SUM(#REF!)</f>
        <v>#REF!</v>
      </c>
      <c r="M172" s="30" t="e">
        <f>SUM(#REF!)</f>
        <v>#REF!</v>
      </c>
      <c r="N172" s="30" t="e">
        <f>SUM(#REF!)</f>
        <v>#REF!</v>
      </c>
      <c r="O172" s="30" t="e">
        <f>SUM(#REF!)</f>
        <v>#REF!</v>
      </c>
      <c r="P172" s="30">
        <f t="shared" ref="P172:S172" si="51">SUM(P151:P171)</f>
        <v>1177000</v>
      </c>
      <c r="Q172" s="30">
        <f t="shared" si="51"/>
        <v>951255.99</v>
      </c>
      <c r="R172" s="30">
        <f t="shared" si="51"/>
        <v>1290500</v>
      </c>
      <c r="S172" s="30">
        <f t="shared" si="51"/>
        <v>1194289.2013333333</v>
      </c>
      <c r="T172" s="30">
        <f>SUM(T151:T171)</f>
        <v>1867500</v>
      </c>
      <c r="U172" s="112">
        <f>SUM(U152:U168)</f>
        <v>3.1</v>
      </c>
      <c r="V172" s="112">
        <f>SUM(V152:V168)</f>
        <v>3.1</v>
      </c>
      <c r="W172" s="22" t="e">
        <f>SUM(#REF!)</f>
        <v>#REF!</v>
      </c>
      <c r="X172" s="23" t="e">
        <f>SUM(#REF!)</f>
        <v>#REF!</v>
      </c>
      <c r="Y172" s="5">
        <f>IF(ISBLANK(B172),1,--OR(L172&gt;1,M172&gt;1,N172&gt;1))</f>
        <v>1</v>
      </c>
      <c r="Z172" s="1">
        <v>0</v>
      </c>
      <c r="AG172" s="1">
        <f>P172-Q172</f>
        <v>225744.01</v>
      </c>
    </row>
    <row r="173" spans="1:35" ht="24.95" customHeight="1">
      <c r="A173" s="85">
        <v>20</v>
      </c>
      <c r="B173" s="92">
        <v>1813300110</v>
      </c>
      <c r="C173" s="109" t="str">
        <f t="shared" si="39"/>
        <v>110</v>
      </c>
      <c r="D173" s="109" t="str">
        <f t="shared" si="48"/>
        <v>813300</v>
      </c>
      <c r="E173" s="93" t="s">
        <v>497</v>
      </c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>
        <f>VLOOKUP(B:B,'[3]תשלומים 2017'!B:R,15,0)</f>
        <v>0</v>
      </c>
      <c r="Q173" s="95">
        <f>VLOOKUP(B:B,'[3]דוח כספי 10.17 מעודכן'!A:D,4,0)</f>
        <v>0</v>
      </c>
      <c r="R173" s="95">
        <f>VLOOKUP(B:B,'[3]תשלומים 2017'!B:T,17,0)</f>
        <v>0</v>
      </c>
      <c r="S173" s="95">
        <f>Q173/9*12</f>
        <v>0</v>
      </c>
      <c r="T173" s="95">
        <v>0</v>
      </c>
      <c r="U173" s="96">
        <v>0</v>
      </c>
      <c r="V173" s="96">
        <v>0</v>
      </c>
      <c r="W173" s="97"/>
      <c r="X173" s="91"/>
      <c r="Y173" s="85"/>
      <c r="Z173" s="98"/>
      <c r="AA173" s="85"/>
      <c r="AB173" s="85"/>
      <c r="AC173" s="85"/>
      <c r="AD173" s="85"/>
      <c r="AE173" s="85"/>
      <c r="AF173" s="85"/>
      <c r="AG173"/>
    </row>
    <row r="174" spans="1:35" s="108" customFormat="1" ht="24.95" customHeight="1">
      <c r="A174" s="99">
        <v>19</v>
      </c>
      <c r="B174" s="100">
        <v>1813300430</v>
      </c>
      <c r="C174" s="101" t="str">
        <f t="shared" si="39"/>
        <v>430</v>
      </c>
      <c r="D174" s="101" t="str">
        <f t="shared" si="48"/>
        <v>813300</v>
      </c>
      <c r="E174" s="102" t="s">
        <v>209</v>
      </c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>
        <f>VLOOKUP(B:B,'[3]תשלומים 2017'!B:R,15,0)</f>
        <v>0</v>
      </c>
      <c r="Q174" s="103">
        <f>VLOOKUP(B:B,'[3]דוח כספי 10.17 מעודכן'!A:D,4,0)</f>
        <v>130638</v>
      </c>
      <c r="R174" s="103"/>
      <c r="S174" s="103">
        <f>Q174/10*12</f>
        <v>156765.59999999998</v>
      </c>
      <c r="T174" s="103">
        <v>0</v>
      </c>
      <c r="U174" s="104"/>
      <c r="V174" s="104"/>
      <c r="W174" s="105"/>
      <c r="X174" s="106"/>
      <c r="Y174" s="99"/>
      <c r="Z174" s="107"/>
      <c r="AA174" s="99"/>
      <c r="AB174" s="99"/>
      <c r="AC174" s="99"/>
      <c r="AD174" s="99"/>
      <c r="AE174" s="99"/>
      <c r="AF174" s="99"/>
      <c r="AG174" s="115">
        <f t="shared" ref="AG174:AG181" si="52">P174-Q174</f>
        <v>-130638</v>
      </c>
      <c r="AI174" s="108" t="s">
        <v>498</v>
      </c>
    </row>
    <row r="175" spans="1:35" ht="24.95" customHeight="1">
      <c r="A175" s="85">
        <v>19</v>
      </c>
      <c r="B175" s="92">
        <v>1813300780</v>
      </c>
      <c r="C175" s="109" t="str">
        <f t="shared" si="39"/>
        <v>780</v>
      </c>
      <c r="D175" s="109" t="str">
        <f t="shared" si="48"/>
        <v>813300</v>
      </c>
      <c r="E175" s="93" t="s">
        <v>499</v>
      </c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>
        <f>VLOOKUP(B:B,'[3]תשלומים 2017'!B:R,15,0)</f>
        <v>12000</v>
      </c>
      <c r="Q175" s="95">
        <f>VLOOKUP(B:B,'[3]דוח כספי 10.17 מעודכן'!A:D,4,0)</f>
        <v>0</v>
      </c>
      <c r="R175" s="95">
        <f>VLOOKUP(B:B,'[3]תשלומים 2017'!B:T,17,0)</f>
        <v>0</v>
      </c>
      <c r="S175" s="95">
        <f>Q175/10*12</f>
        <v>0</v>
      </c>
      <c r="T175" s="95">
        <v>0</v>
      </c>
      <c r="U175" s="110"/>
      <c r="V175" s="110"/>
      <c r="W175" s="97"/>
      <c r="X175" s="91"/>
      <c r="Y175" s="85"/>
      <c r="Z175" s="98"/>
      <c r="AA175" s="85"/>
      <c r="AB175" s="85"/>
      <c r="AC175" s="85"/>
      <c r="AD175" s="85"/>
      <c r="AE175" s="85"/>
      <c r="AF175" s="85"/>
      <c r="AG175" s="83">
        <f t="shared" si="52"/>
        <v>12000</v>
      </c>
      <c r="AI175" s="1"/>
    </row>
    <row r="176" spans="1:35" ht="24.95" customHeight="1">
      <c r="A176" s="85">
        <v>19</v>
      </c>
      <c r="B176" s="92">
        <v>1813300810</v>
      </c>
      <c r="C176" s="109" t="str">
        <f t="shared" si="39"/>
        <v>810</v>
      </c>
      <c r="D176" s="109" t="str">
        <f t="shared" si="48"/>
        <v>813300</v>
      </c>
      <c r="E176" s="93" t="s">
        <v>500</v>
      </c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>
        <f>VLOOKUP(B:B,'[3]תשלומים 2017'!B:R,15,0)</f>
        <v>401000</v>
      </c>
      <c r="Q176" s="95">
        <f>VLOOKUP(B:B,'[3]דוח כספי 10.17 מעודכן'!A:D,4,0)</f>
        <v>588039</v>
      </c>
      <c r="R176" s="95">
        <f>VLOOKUP(B:B,'[3]תשלומים 2017'!B:T,17,0)</f>
        <v>588000</v>
      </c>
      <c r="S176" s="95">
        <f>Q176/10*12</f>
        <v>705646.8</v>
      </c>
      <c r="T176" s="95">
        <v>400000</v>
      </c>
      <c r="U176" s="110"/>
      <c r="V176" s="110"/>
      <c r="W176" s="97"/>
      <c r="X176" s="91"/>
      <c r="Y176" s="85"/>
      <c r="Z176" s="98"/>
      <c r="AA176" s="85"/>
      <c r="AB176" s="85"/>
      <c r="AC176" s="85"/>
      <c r="AD176" s="85"/>
      <c r="AE176" s="85"/>
      <c r="AF176" s="85"/>
      <c r="AG176" s="83">
        <f t="shared" si="52"/>
        <v>-187039</v>
      </c>
      <c r="AI176" t="s">
        <v>501</v>
      </c>
    </row>
    <row r="177" spans="1:35" s="1" customFormat="1" ht="24.95" customHeight="1">
      <c r="B177" s="28"/>
      <c r="C177" s="29"/>
      <c r="D177" s="29"/>
      <c r="E177" s="29" t="s">
        <v>499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>
        <f t="shared" ref="P177:V177" si="53">SUM(P173:P176)</f>
        <v>413000</v>
      </c>
      <c r="Q177" s="30">
        <f t="shared" si="53"/>
        <v>718677</v>
      </c>
      <c r="R177" s="30">
        <f t="shared" si="53"/>
        <v>588000</v>
      </c>
      <c r="S177" s="30">
        <f t="shared" si="53"/>
        <v>862412.4</v>
      </c>
      <c r="T177" s="30">
        <f t="shared" si="53"/>
        <v>400000</v>
      </c>
      <c r="U177" s="31">
        <f>SUM(U173:U176)</f>
        <v>0</v>
      </c>
      <c r="V177" s="31">
        <f t="shared" si="53"/>
        <v>0</v>
      </c>
      <c r="W177" s="22"/>
      <c r="X177" s="23"/>
      <c r="Y177" s="5"/>
      <c r="AG177" s="1">
        <f t="shared" si="52"/>
        <v>-305677</v>
      </c>
    </row>
    <row r="178" spans="1:35" s="108" customFormat="1" ht="24.95" customHeight="1">
      <c r="A178" s="99">
        <v>19</v>
      </c>
      <c r="B178" s="100">
        <v>1813400430</v>
      </c>
      <c r="C178" s="101" t="str">
        <f t="shared" si="39"/>
        <v>430</v>
      </c>
      <c r="D178" s="101" t="str">
        <f t="shared" si="48"/>
        <v>813400</v>
      </c>
      <c r="E178" s="102" t="s">
        <v>493</v>
      </c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>
        <f>VLOOKUP(B:B,'[3]תשלומים 2017'!B:R,15,0)</f>
        <v>0</v>
      </c>
      <c r="Q178" s="103">
        <f>VLOOKUP(B:B,'[3]דוח כספי 10.17 מעודכן'!A:D,4,0)</f>
        <v>61899</v>
      </c>
      <c r="R178" s="103">
        <v>275000</v>
      </c>
      <c r="S178" s="103">
        <f>Q178/10*12</f>
        <v>74278.799999999988</v>
      </c>
      <c r="T178" s="103">
        <v>0</v>
      </c>
      <c r="U178" s="104"/>
      <c r="V178" s="104"/>
      <c r="W178" s="105"/>
      <c r="X178" s="106"/>
      <c r="Y178" s="99"/>
      <c r="Z178" s="107"/>
      <c r="AA178" s="99"/>
      <c r="AB178" s="99"/>
      <c r="AC178" s="99"/>
      <c r="AD178" s="99"/>
      <c r="AE178" s="99"/>
      <c r="AF178" s="99"/>
      <c r="AG178" s="115">
        <f t="shared" si="52"/>
        <v>-61899</v>
      </c>
    </row>
    <row r="179" spans="1:35" s="108" customFormat="1" ht="24.95" customHeight="1">
      <c r="A179" s="99">
        <v>19</v>
      </c>
      <c r="B179" s="100">
        <v>1813500430</v>
      </c>
      <c r="C179" s="101" t="str">
        <f t="shared" si="39"/>
        <v>430</v>
      </c>
      <c r="D179" s="101" t="str">
        <f t="shared" si="48"/>
        <v>813500</v>
      </c>
      <c r="E179" s="102" t="s">
        <v>494</v>
      </c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>
        <f>VLOOKUP(B:B,'[3]תשלומים 2017'!B:R,15,0)</f>
        <v>0</v>
      </c>
      <c r="Q179" s="103">
        <f>VLOOKUP(B:B,'[3]דוח כספי 10.17 מעודכן'!A:D,4,0)</f>
        <v>62945</v>
      </c>
      <c r="R179" s="103">
        <v>301000</v>
      </c>
      <c r="S179" s="103">
        <f>Q179/10*12</f>
        <v>75534</v>
      </c>
      <c r="T179" s="103">
        <v>0</v>
      </c>
      <c r="U179" s="104"/>
      <c r="V179" s="104"/>
      <c r="W179" s="105"/>
      <c r="X179" s="106"/>
      <c r="Y179" s="99"/>
      <c r="Z179" s="107"/>
      <c r="AA179" s="99"/>
      <c r="AB179" s="99"/>
      <c r="AC179" s="99"/>
      <c r="AD179" s="99"/>
      <c r="AE179" s="99"/>
      <c r="AF179" s="99"/>
      <c r="AG179" s="115">
        <f t="shared" si="52"/>
        <v>-62945</v>
      </c>
    </row>
    <row r="180" spans="1:35" s="108" customFormat="1" ht="24.95" customHeight="1">
      <c r="A180" s="99">
        <v>19</v>
      </c>
      <c r="B180" s="100">
        <v>1813560043</v>
      </c>
      <c r="C180" s="101" t="str">
        <f t="shared" si="39"/>
        <v>043</v>
      </c>
      <c r="D180" s="101" t="str">
        <f t="shared" si="48"/>
        <v>813560</v>
      </c>
      <c r="E180" s="102" t="s">
        <v>495</v>
      </c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>
        <f>VLOOKUP(B:B,'[3]תשלומים 2017'!B:R,15,0)</f>
        <v>0</v>
      </c>
      <c r="Q180" s="103">
        <f>VLOOKUP(B:B,'[3]דוח כספי 10.17 מעודכן'!A:D,4,0)</f>
        <v>42932</v>
      </c>
      <c r="R180" s="103">
        <v>185000</v>
      </c>
      <c r="S180" s="103">
        <f>Q180/10*12</f>
        <v>51518.399999999994</v>
      </c>
      <c r="T180" s="103">
        <v>0</v>
      </c>
      <c r="U180" s="104"/>
      <c r="V180" s="104"/>
      <c r="W180" s="105"/>
      <c r="X180" s="106"/>
      <c r="Y180" s="99"/>
      <c r="Z180" s="107"/>
      <c r="AA180" s="99"/>
      <c r="AB180" s="99"/>
      <c r="AC180" s="99"/>
      <c r="AD180" s="99"/>
      <c r="AE180" s="99"/>
      <c r="AF180" s="99"/>
      <c r="AG180" s="115">
        <f t="shared" si="52"/>
        <v>-42932</v>
      </c>
    </row>
    <row r="181" spans="1:35" s="1" customFormat="1" ht="24.95" customHeight="1">
      <c r="B181" s="28"/>
      <c r="C181" s="29"/>
      <c r="D181" s="29"/>
      <c r="E181" s="29" t="s">
        <v>502</v>
      </c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>
        <f t="shared" ref="P181:R181" si="54">SUM(P178:P180)</f>
        <v>0</v>
      </c>
      <c r="Q181" s="30">
        <f t="shared" si="54"/>
        <v>167776</v>
      </c>
      <c r="R181" s="30">
        <f t="shared" si="54"/>
        <v>761000</v>
      </c>
      <c r="S181" s="30">
        <f>SUM(S178:S180)</f>
        <v>201331.19999999998</v>
      </c>
      <c r="T181" s="30">
        <f>SUM(T178:T180)</f>
        <v>0</v>
      </c>
      <c r="U181" s="31">
        <f>SUM(U178:U180)</f>
        <v>0</v>
      </c>
      <c r="V181" s="31">
        <f>SUM(V178:V180)</f>
        <v>0</v>
      </c>
      <c r="W181" s="22"/>
      <c r="X181" s="23"/>
      <c r="Y181" s="5"/>
      <c r="AG181" s="1">
        <f t="shared" si="52"/>
        <v>-167776</v>
      </c>
    </row>
    <row r="182" spans="1:35" ht="24.95" customHeight="1">
      <c r="A182" s="85">
        <v>20</v>
      </c>
      <c r="B182" s="92">
        <v>1813800110</v>
      </c>
      <c r="C182" s="109" t="str">
        <f t="shared" si="39"/>
        <v>110</v>
      </c>
      <c r="D182" s="109" t="str">
        <f>MID(B182,2,6)</f>
        <v>813800</v>
      </c>
      <c r="E182" s="93" t="s">
        <v>503</v>
      </c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>
        <f>VLOOKUP(B:B,'[3]תשלומים 2017'!B:R,15,0)</f>
        <v>0</v>
      </c>
      <c r="Q182" s="95">
        <f>VLOOKUP(B:B,'[3]דוח כספי 10.17 מעודכן'!A:D,4,0)</f>
        <v>158994.47</v>
      </c>
      <c r="R182" s="95">
        <f>VLOOKUP(B:B,'[3]תשלומים 2017'!B:T,17,0)</f>
        <v>212000</v>
      </c>
      <c r="S182" s="95">
        <f>Q182/9*12</f>
        <v>211992.62666666665</v>
      </c>
      <c r="T182" s="95">
        <v>298000</v>
      </c>
      <c r="U182" s="96">
        <v>0</v>
      </c>
      <c r="V182" s="96">
        <v>2.98</v>
      </c>
      <c r="W182" s="97"/>
      <c r="X182" s="91"/>
      <c r="Y182" s="85"/>
      <c r="Z182" s="98"/>
      <c r="AA182" s="85"/>
      <c r="AB182" s="85"/>
      <c r="AC182" s="85"/>
      <c r="AD182" s="85"/>
      <c r="AE182" s="85"/>
      <c r="AF182" s="85"/>
      <c r="AG182"/>
    </row>
    <row r="183" spans="1:35" s="1" customFormat="1" ht="24.95" customHeight="1">
      <c r="B183" s="28"/>
      <c r="C183" s="29"/>
      <c r="D183" s="29"/>
      <c r="E183" s="29" t="s">
        <v>504</v>
      </c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>
        <f t="shared" ref="P183" si="55">SUM(P182)</f>
        <v>0</v>
      </c>
      <c r="Q183" s="30">
        <f t="shared" ref="Q183:V183" si="56">SUM(Q182)</f>
        <v>158994.47</v>
      </c>
      <c r="R183" s="30">
        <f t="shared" si="56"/>
        <v>212000</v>
      </c>
      <c r="S183" s="30">
        <f t="shared" si="56"/>
        <v>211992.62666666665</v>
      </c>
      <c r="T183" s="30">
        <f t="shared" si="56"/>
        <v>298000</v>
      </c>
      <c r="U183" s="31">
        <f>SUM(U182)</f>
        <v>0</v>
      </c>
      <c r="V183" s="31">
        <f t="shared" si="56"/>
        <v>2.98</v>
      </c>
      <c r="W183" s="22"/>
      <c r="X183" s="23"/>
      <c r="Y183" s="5"/>
      <c r="AG183" s="1">
        <f>P183-Q183</f>
        <v>-158994.47</v>
      </c>
      <c r="AH183" s="1">
        <v>0</v>
      </c>
    </row>
    <row r="184" spans="1:35" ht="24.95" customHeight="1">
      <c r="A184" s="85">
        <v>20</v>
      </c>
      <c r="B184" s="92">
        <v>1815100110</v>
      </c>
      <c r="C184" s="109" t="str">
        <f t="shared" si="39"/>
        <v>110</v>
      </c>
      <c r="D184" s="109" t="str">
        <f t="shared" ref="D184:D220" si="57">MID(B184,2,6)</f>
        <v>815100</v>
      </c>
      <c r="E184" s="93" t="s">
        <v>505</v>
      </c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>
        <f>VLOOKUP(B:B,'[3]תשלומים 2017'!B:R,15,0)</f>
        <v>750000</v>
      </c>
      <c r="Q184" s="95">
        <f>VLOOKUP(B:B,'[3]דוח כספי 10.17 מעודכן'!A:D,4,0)</f>
        <v>639626.09</v>
      </c>
      <c r="R184" s="95">
        <f>VLOOKUP(B:B,'[3]תשלומים 2017'!B:T,17,0)</f>
        <v>865000</v>
      </c>
      <c r="S184" s="95">
        <f>Q184/9*12</f>
        <v>852834.78666666662</v>
      </c>
      <c r="T184" s="95">
        <v>914000</v>
      </c>
      <c r="U184" s="96">
        <v>6.22</v>
      </c>
      <c r="V184" s="96">
        <f>6.22+0.86</f>
        <v>7.08</v>
      </c>
      <c r="W184" s="97"/>
      <c r="X184" s="91"/>
      <c r="Y184" s="85"/>
      <c r="Z184" s="98"/>
      <c r="AA184" s="85"/>
      <c r="AB184" s="85"/>
      <c r="AC184" s="85"/>
      <c r="AD184" s="85"/>
      <c r="AE184" s="85"/>
      <c r="AF184" s="85"/>
      <c r="AG184"/>
      <c r="AH184">
        <v>0</v>
      </c>
      <c r="AI184" s="130"/>
    </row>
    <row r="185" spans="1:35" ht="24.95" customHeight="1">
      <c r="A185" s="85">
        <v>20</v>
      </c>
      <c r="B185" s="92">
        <v>1815200320</v>
      </c>
      <c r="C185" s="109" t="str">
        <f t="shared" si="39"/>
        <v>320</v>
      </c>
      <c r="D185" s="109" t="str">
        <f t="shared" si="57"/>
        <v>815200</v>
      </c>
      <c r="E185" s="93" t="s">
        <v>506</v>
      </c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>
        <f>VLOOKUP(B:B,'[3]תשלומים 2017'!B:R,15,0)</f>
        <v>0</v>
      </c>
      <c r="Q185" s="95">
        <f>VLOOKUP(B:B,'[3]דוח כספי 10.17 מעודכן'!A:D,4,0)</f>
        <v>0</v>
      </c>
      <c r="R185" s="95">
        <f>VLOOKUP(B:B,'[3]תשלומים 2017'!B:T,17,0)</f>
        <v>0</v>
      </c>
      <c r="S185" s="95">
        <f t="shared" ref="S185:S215" si="58">Q185/10*12</f>
        <v>0</v>
      </c>
      <c r="T185" s="95">
        <v>0</v>
      </c>
      <c r="U185" s="110"/>
      <c r="V185" s="110"/>
      <c r="W185" s="97"/>
      <c r="X185" s="91"/>
      <c r="Y185" s="85"/>
      <c r="Z185" s="98"/>
      <c r="AA185" s="85"/>
      <c r="AB185" s="85"/>
      <c r="AC185" s="85"/>
      <c r="AD185" s="85"/>
      <c r="AE185" s="85"/>
      <c r="AF185" s="85"/>
      <c r="AG185"/>
    </row>
    <row r="186" spans="1:35" ht="24.95" customHeight="1">
      <c r="A186" s="85">
        <v>19</v>
      </c>
      <c r="B186" s="92">
        <v>1815200420</v>
      </c>
      <c r="C186" s="109" t="str">
        <f t="shared" si="39"/>
        <v>420</v>
      </c>
      <c r="D186" s="109" t="str">
        <f t="shared" si="57"/>
        <v>815200</v>
      </c>
      <c r="E186" s="93" t="s">
        <v>507</v>
      </c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>
        <f>VLOOKUP(B:B,'[3]תשלומים 2017'!B:R,15,0)</f>
        <v>47000</v>
      </c>
      <c r="Q186" s="95">
        <f>VLOOKUP(B:B,'[3]דוח כספי 10.17 מעודכן'!A:D,4,0)</f>
        <v>25043</v>
      </c>
      <c r="R186" s="95">
        <f>VLOOKUP(B:B,'[3]תשלומים 2017'!B:T,17,0)</f>
        <v>30000</v>
      </c>
      <c r="S186" s="95">
        <f t="shared" si="58"/>
        <v>30051.600000000002</v>
      </c>
      <c r="T186" s="95">
        <v>30000</v>
      </c>
      <c r="U186" s="110"/>
      <c r="V186" s="110"/>
      <c r="W186" s="97"/>
      <c r="X186" s="91"/>
      <c r="Y186" s="85"/>
      <c r="Z186" s="98"/>
      <c r="AA186" s="85"/>
      <c r="AB186" s="85"/>
      <c r="AC186" s="85"/>
      <c r="AD186" s="85"/>
      <c r="AE186" s="85"/>
      <c r="AF186" s="85"/>
      <c r="AG186" s="83">
        <f t="shared" ref="AG186:AG215" si="59">P186-Q186</f>
        <v>21957</v>
      </c>
    </row>
    <row r="187" spans="1:35" ht="24.95" customHeight="1">
      <c r="A187" s="85">
        <v>19</v>
      </c>
      <c r="B187" s="100">
        <v>1815200425</v>
      </c>
      <c r="C187" s="101" t="str">
        <f t="shared" si="39"/>
        <v>425</v>
      </c>
      <c r="D187" s="101" t="str">
        <f t="shared" si="57"/>
        <v>815200</v>
      </c>
      <c r="E187" s="102" t="s">
        <v>508</v>
      </c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>
        <f>VLOOKUP(B:B,'[3]תשלומים 2017'!B:R,15,0)</f>
        <v>0</v>
      </c>
      <c r="Q187" s="103">
        <f>VLOOKUP(B:B,'[3]דוח כספי 10.17 מעודכן'!A:D,4,0)</f>
        <v>0</v>
      </c>
      <c r="R187" s="103">
        <f>VLOOKUP(B:B,'[3]תשלומים 2017'!B:T,17,0)</f>
        <v>0</v>
      </c>
      <c r="S187" s="103">
        <f t="shared" si="58"/>
        <v>0</v>
      </c>
      <c r="T187" s="103">
        <v>0</v>
      </c>
      <c r="U187" s="110"/>
      <c r="V187" s="110"/>
      <c r="W187" s="97"/>
      <c r="X187" s="91"/>
      <c r="Y187" s="85"/>
      <c r="Z187" s="98"/>
      <c r="AA187" s="85"/>
      <c r="AB187" s="85"/>
      <c r="AC187" s="85"/>
      <c r="AD187" s="85"/>
      <c r="AE187" s="85"/>
      <c r="AF187" s="85"/>
      <c r="AG187" s="83">
        <f t="shared" si="59"/>
        <v>0</v>
      </c>
    </row>
    <row r="188" spans="1:35" ht="24.95" customHeight="1">
      <c r="A188" s="85">
        <v>19</v>
      </c>
      <c r="B188" s="100">
        <v>1815200431</v>
      </c>
      <c r="C188" s="101" t="str">
        <f t="shared" si="39"/>
        <v>431</v>
      </c>
      <c r="D188" s="101" t="str">
        <f t="shared" si="57"/>
        <v>815200</v>
      </c>
      <c r="E188" s="102" t="s">
        <v>481</v>
      </c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>
        <f>VLOOKUP(B:B,'[3]תשלומים 2017'!B:R,15,0)</f>
        <v>129000</v>
      </c>
      <c r="Q188" s="103">
        <f>VLOOKUP(B:B,'[3]דוח כספי 10.17 מעודכן'!A:D,4,0)</f>
        <v>124393.86</v>
      </c>
      <c r="R188" s="103">
        <f>VLOOKUP(B:B,'[3]תשלומים 2017'!B:T,17,0)</f>
        <v>210000</v>
      </c>
      <c r="S188" s="103">
        <f t="shared" si="58"/>
        <v>149272.63200000001</v>
      </c>
      <c r="T188" s="103">
        <v>150000</v>
      </c>
      <c r="U188" s="110"/>
      <c r="V188" s="110"/>
      <c r="W188" s="97"/>
      <c r="X188" s="91"/>
      <c r="Y188" s="85"/>
      <c r="Z188" s="98"/>
      <c r="AA188" s="85"/>
      <c r="AB188" s="85"/>
      <c r="AC188" s="85"/>
      <c r="AD188" s="85"/>
      <c r="AE188" s="85"/>
      <c r="AF188" s="85"/>
      <c r="AG188" s="83">
        <f t="shared" si="59"/>
        <v>4606.1399999999994</v>
      </c>
    </row>
    <row r="189" spans="1:35" ht="24.95" customHeight="1">
      <c r="A189" s="85">
        <v>19</v>
      </c>
      <c r="B189" s="100">
        <v>1815200432</v>
      </c>
      <c r="C189" s="101" t="str">
        <f t="shared" si="39"/>
        <v>432</v>
      </c>
      <c r="D189" s="101" t="str">
        <f t="shared" si="57"/>
        <v>815200</v>
      </c>
      <c r="E189" s="102" t="s">
        <v>325</v>
      </c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>
        <f>VLOOKUP(B:B,'[3]תשלומים 2017'!B:R,15,0)</f>
        <v>55000</v>
      </c>
      <c r="Q189" s="103">
        <f>VLOOKUP(B:B,'[3]דוח כספי 10.17 מעודכן'!A:D,4,0)</f>
        <v>34091.1</v>
      </c>
      <c r="R189" s="103">
        <f>VLOOKUP(B:B,'[3]תשלומים 2017'!B:T,17,0)</f>
        <v>34500</v>
      </c>
      <c r="S189" s="103">
        <v>34091</v>
      </c>
      <c r="T189" s="103">
        <v>45000</v>
      </c>
      <c r="U189" s="110"/>
      <c r="V189" s="110"/>
      <c r="W189" s="97"/>
      <c r="X189" s="91"/>
      <c r="Y189" s="85"/>
      <c r="Z189" s="98"/>
      <c r="AA189" s="85"/>
      <c r="AB189" s="85"/>
      <c r="AC189" s="85"/>
      <c r="AD189" s="85"/>
      <c r="AE189" s="85"/>
      <c r="AF189" s="85"/>
      <c r="AG189" s="83">
        <f t="shared" si="59"/>
        <v>20908.900000000001</v>
      </c>
    </row>
    <row r="190" spans="1:35" ht="24.95" customHeight="1">
      <c r="A190" s="85">
        <v>19</v>
      </c>
      <c r="B190" s="100">
        <v>1815200433</v>
      </c>
      <c r="C190" s="101" t="str">
        <f t="shared" si="39"/>
        <v>433</v>
      </c>
      <c r="D190" s="101" t="str">
        <f t="shared" si="57"/>
        <v>815200</v>
      </c>
      <c r="E190" s="102" t="s">
        <v>509</v>
      </c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>
        <f>VLOOKUP(B:B,'[3]תשלומים 2017'!B:R,15,0)</f>
        <v>28000</v>
      </c>
      <c r="Q190" s="103">
        <f>VLOOKUP(B:B,'[3]דוח כספי 10.17 מעודכן'!A:D,4,0)</f>
        <v>21534</v>
      </c>
      <c r="R190" s="103">
        <f>VLOOKUP(B:B,'[3]תשלומים 2017'!B:T,17,0)</f>
        <v>26000</v>
      </c>
      <c r="S190" s="103">
        <f t="shared" si="58"/>
        <v>25840.800000000003</v>
      </c>
      <c r="T190" s="103">
        <v>26000</v>
      </c>
      <c r="U190" s="110"/>
      <c r="V190" s="110"/>
      <c r="W190" s="97"/>
      <c r="X190" s="91"/>
      <c r="Y190" s="85"/>
      <c r="Z190" s="98"/>
      <c r="AA190" s="85"/>
      <c r="AB190" s="85"/>
      <c r="AC190" s="85"/>
      <c r="AD190" s="85"/>
      <c r="AE190" s="85"/>
      <c r="AF190" s="85"/>
      <c r="AG190" s="83">
        <f t="shared" si="59"/>
        <v>6466</v>
      </c>
      <c r="AH190">
        <v>0</v>
      </c>
    </row>
    <row r="191" spans="1:35" ht="24.95" customHeight="1">
      <c r="A191" s="85">
        <v>19</v>
      </c>
      <c r="B191" s="100">
        <v>1815200440</v>
      </c>
      <c r="C191" s="101" t="str">
        <f t="shared" si="39"/>
        <v>440</v>
      </c>
      <c r="D191" s="101" t="str">
        <f t="shared" si="57"/>
        <v>815200</v>
      </c>
      <c r="E191" s="102" t="s">
        <v>354</v>
      </c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>
        <f>VLOOKUP(B:B,'[3]תשלומים 2017'!B:R,15,0)</f>
        <v>0</v>
      </c>
      <c r="Q191" s="103">
        <f>VLOOKUP(B:B,'[3]דוח כספי 10.17 מעודכן'!A:D,4,0)</f>
        <v>0</v>
      </c>
      <c r="R191" s="103">
        <f>VLOOKUP(B:B,'[3]תשלומים 2017'!B:T,17,0)</f>
        <v>0</v>
      </c>
      <c r="S191" s="103">
        <f t="shared" si="58"/>
        <v>0</v>
      </c>
      <c r="T191" s="103">
        <v>0</v>
      </c>
      <c r="U191" s="110"/>
      <c r="V191" s="110"/>
      <c r="W191" s="97"/>
      <c r="X191" s="91"/>
      <c r="Y191" s="85"/>
      <c r="Z191" s="98"/>
      <c r="AA191" s="85"/>
      <c r="AB191" s="85"/>
      <c r="AC191" s="85"/>
      <c r="AD191" s="85"/>
      <c r="AE191" s="85"/>
      <c r="AF191" s="85"/>
      <c r="AG191" s="83">
        <f t="shared" si="59"/>
        <v>0</v>
      </c>
    </row>
    <row r="192" spans="1:35" ht="24.95" customHeight="1">
      <c r="A192" s="85">
        <v>19</v>
      </c>
      <c r="B192" s="92">
        <v>1815200450</v>
      </c>
      <c r="C192" s="109" t="str">
        <f t="shared" si="39"/>
        <v>450</v>
      </c>
      <c r="D192" s="109" t="str">
        <f t="shared" si="57"/>
        <v>815200</v>
      </c>
      <c r="E192" s="93" t="s">
        <v>483</v>
      </c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>
        <f>VLOOKUP(B:B,'[3]תשלומים 2017'!B:R,15,0)</f>
        <v>12000</v>
      </c>
      <c r="Q192" s="95">
        <f>VLOOKUP(B:B,'[3]דוח כספי 10.17 מעודכן'!A:D,4,0)</f>
        <v>-4861.6400000000003</v>
      </c>
      <c r="R192" s="95">
        <f>VLOOKUP(B:B,'[3]תשלומים 2017'!B:T,17,0)</f>
        <v>5000</v>
      </c>
      <c r="S192" s="95">
        <f t="shared" si="58"/>
        <v>-5833.9680000000008</v>
      </c>
      <c r="T192" s="95">
        <v>3000</v>
      </c>
      <c r="U192" s="110"/>
      <c r="V192" s="110"/>
      <c r="W192" s="97"/>
      <c r="X192" s="91"/>
      <c r="Y192" s="85"/>
      <c r="Z192" s="98"/>
      <c r="AA192" s="85"/>
      <c r="AB192" s="85"/>
      <c r="AC192" s="85"/>
      <c r="AD192" s="85"/>
      <c r="AE192" s="85"/>
      <c r="AF192" s="85"/>
      <c r="AG192" s="83">
        <f t="shared" si="59"/>
        <v>16861.64</v>
      </c>
    </row>
    <row r="193" spans="1:33" ht="24.95" customHeight="1">
      <c r="A193" s="85">
        <v>19</v>
      </c>
      <c r="B193" s="92">
        <v>1815200470</v>
      </c>
      <c r="C193" s="109" t="str">
        <f t="shared" si="39"/>
        <v>470</v>
      </c>
      <c r="D193" s="109" t="str">
        <f t="shared" si="57"/>
        <v>815200</v>
      </c>
      <c r="E193" s="93" t="s">
        <v>510</v>
      </c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>
        <f>VLOOKUP(B:B,'[3]תשלומים 2017'!B:R,15,0)</f>
        <v>37000</v>
      </c>
      <c r="Q193" s="95">
        <f>VLOOKUP(B:B,'[3]דוח כספי 10.17 מעודכן'!A:D,4,0)</f>
        <v>71539</v>
      </c>
      <c r="R193" s="95">
        <f>VLOOKUP(B:B,'[3]תשלומים 2017'!B:T,17,0)</f>
        <v>86000</v>
      </c>
      <c r="S193" s="95">
        <f t="shared" si="58"/>
        <v>85846.799999999988</v>
      </c>
      <c r="T193" s="95">
        <v>86000</v>
      </c>
      <c r="U193" s="110"/>
      <c r="V193" s="110"/>
      <c r="W193" s="97"/>
      <c r="X193" s="91"/>
      <c r="Y193" s="85"/>
      <c r="Z193" s="98"/>
      <c r="AA193" s="85"/>
      <c r="AB193" s="85"/>
      <c r="AC193" s="85"/>
      <c r="AD193" s="85"/>
      <c r="AE193" s="85"/>
      <c r="AF193" s="85"/>
      <c r="AG193" s="83">
        <f t="shared" si="59"/>
        <v>-34539</v>
      </c>
    </row>
    <row r="194" spans="1:33" ht="24.95" customHeight="1">
      <c r="A194" s="85">
        <v>19</v>
      </c>
      <c r="B194" s="92">
        <v>1815200510</v>
      </c>
      <c r="C194" s="109" t="str">
        <f t="shared" si="39"/>
        <v>510</v>
      </c>
      <c r="D194" s="109" t="str">
        <f t="shared" si="57"/>
        <v>815200</v>
      </c>
      <c r="E194" s="93" t="s">
        <v>511</v>
      </c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>
        <f>VLOOKUP(B:B,'[3]תשלומים 2017'!B:R,15,0)</f>
        <v>10000</v>
      </c>
      <c r="Q194" s="95">
        <f>VLOOKUP(B:B,'[3]דוח כספי 10.17 מעודכן'!A:D,4,0)</f>
        <v>0</v>
      </c>
      <c r="R194" s="95">
        <f>VLOOKUP(B:B,'[3]תשלומים 2017'!B:T,17,0)</f>
        <v>0</v>
      </c>
      <c r="S194" s="95">
        <f t="shared" si="58"/>
        <v>0</v>
      </c>
      <c r="T194" s="95">
        <v>0</v>
      </c>
      <c r="U194" s="110"/>
      <c r="V194" s="110"/>
      <c r="W194" s="97"/>
      <c r="X194" s="91"/>
      <c r="Y194" s="85"/>
      <c r="Z194" s="98"/>
      <c r="AA194" s="85"/>
      <c r="AB194" s="85"/>
      <c r="AC194" s="85"/>
      <c r="AD194" s="85"/>
      <c r="AE194" s="85"/>
      <c r="AF194" s="85"/>
      <c r="AG194" s="83">
        <f t="shared" si="59"/>
        <v>10000</v>
      </c>
    </row>
    <row r="195" spans="1:33" ht="24.95" customHeight="1">
      <c r="A195" s="85">
        <v>19</v>
      </c>
      <c r="B195" s="92">
        <v>1815200522</v>
      </c>
      <c r="C195" s="109" t="str">
        <f t="shared" si="39"/>
        <v>522</v>
      </c>
      <c r="D195" s="109" t="str">
        <f t="shared" si="57"/>
        <v>815200</v>
      </c>
      <c r="E195" s="93" t="s">
        <v>384</v>
      </c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>
        <f>VLOOKUP(B:B,'[3]תשלומים 2017'!B:R,15,0)</f>
        <v>0</v>
      </c>
      <c r="Q195" s="95">
        <f>VLOOKUP(B:B,'[3]דוח כספי 10.17 מעודכן'!A:D,4,0)</f>
        <v>0</v>
      </c>
      <c r="R195" s="95">
        <f>VLOOKUP(B:B,'[3]תשלומים 2017'!B:T,17,0)</f>
        <v>0</v>
      </c>
      <c r="S195" s="95">
        <f t="shared" si="58"/>
        <v>0</v>
      </c>
      <c r="T195" s="95">
        <v>0</v>
      </c>
      <c r="U195" s="110"/>
      <c r="V195" s="110"/>
      <c r="W195" s="97"/>
      <c r="X195" s="91"/>
      <c r="Y195" s="85"/>
      <c r="Z195" s="98"/>
      <c r="AA195" s="85"/>
      <c r="AB195" s="85"/>
      <c r="AC195" s="85"/>
      <c r="AD195" s="85"/>
      <c r="AE195" s="85"/>
      <c r="AF195" s="85"/>
      <c r="AG195" s="83">
        <f t="shared" si="59"/>
        <v>0</v>
      </c>
    </row>
    <row r="196" spans="1:33" ht="24.95" customHeight="1">
      <c r="A196" s="85">
        <v>19</v>
      </c>
      <c r="B196" s="92">
        <v>1815200540</v>
      </c>
      <c r="C196" s="109" t="str">
        <f t="shared" si="39"/>
        <v>540</v>
      </c>
      <c r="D196" s="109" t="str">
        <f t="shared" si="57"/>
        <v>815200</v>
      </c>
      <c r="E196" s="93" t="s">
        <v>485</v>
      </c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>
        <f>VLOOKUP(B:B,'[3]תשלומים 2017'!B:R,15,0)</f>
        <v>21000</v>
      </c>
      <c r="Q196" s="95">
        <f>VLOOKUP(B:B,'[3]דוח כספי 10.17 מעודכן'!A:D,4,0)</f>
        <v>0</v>
      </c>
      <c r="R196" s="95">
        <f>VLOOKUP(B:B,'[3]תשלומים 2017'!B:T,17,0)</f>
        <v>0</v>
      </c>
      <c r="S196" s="95">
        <f t="shared" si="58"/>
        <v>0</v>
      </c>
      <c r="T196" s="95">
        <v>0</v>
      </c>
      <c r="U196" s="110"/>
      <c r="V196" s="110"/>
      <c r="W196" s="97"/>
      <c r="X196" s="91"/>
      <c r="Y196" s="85"/>
      <c r="Z196" s="98"/>
      <c r="AA196" s="85"/>
      <c r="AB196" s="85"/>
      <c r="AC196" s="85"/>
      <c r="AD196" s="85"/>
      <c r="AE196" s="85"/>
      <c r="AF196" s="85"/>
      <c r="AG196" s="83">
        <f t="shared" si="59"/>
        <v>21000</v>
      </c>
    </row>
    <row r="197" spans="1:33" ht="24.95" customHeight="1">
      <c r="A197" s="85">
        <v>19</v>
      </c>
      <c r="B197" s="92">
        <v>1815200560</v>
      </c>
      <c r="C197" s="109" t="str">
        <f t="shared" si="39"/>
        <v>560</v>
      </c>
      <c r="D197" s="109" t="str">
        <f t="shared" si="57"/>
        <v>815200</v>
      </c>
      <c r="E197" s="93" t="s">
        <v>486</v>
      </c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>
        <f>VLOOKUP(B:B,'[3]תשלומים 2017'!B:R,15,0)</f>
        <v>80000</v>
      </c>
      <c r="Q197" s="95">
        <f>VLOOKUP(B:B,'[3]דוח כספי 10.17 מעודכן'!A:D,4,0)</f>
        <v>36083</v>
      </c>
      <c r="R197" s="95">
        <f>VLOOKUP(B:B,'[3]תשלומים 2017'!B:T,17,0)</f>
        <v>45000</v>
      </c>
      <c r="S197" s="95">
        <f t="shared" si="58"/>
        <v>43299.600000000006</v>
      </c>
      <c r="T197" s="95">
        <v>43000</v>
      </c>
      <c r="U197" s="110"/>
      <c r="V197" s="110"/>
      <c r="W197" s="97"/>
      <c r="X197" s="91"/>
      <c r="Y197" s="85"/>
      <c r="Z197" s="98"/>
      <c r="AA197" s="85"/>
      <c r="AB197" s="85"/>
      <c r="AC197" s="85"/>
      <c r="AD197" s="85"/>
      <c r="AE197" s="85"/>
      <c r="AF197" s="85"/>
      <c r="AG197" s="83">
        <f t="shared" si="59"/>
        <v>43917</v>
      </c>
    </row>
    <row r="198" spans="1:33" ht="24.95" customHeight="1">
      <c r="A198" s="85">
        <v>19</v>
      </c>
      <c r="B198" s="92">
        <v>1815200570</v>
      </c>
      <c r="C198" s="109" t="str">
        <f t="shared" ref="C198:C246" si="60">MID(B198,8,3)</f>
        <v>570</v>
      </c>
      <c r="D198" s="109" t="str">
        <f t="shared" si="57"/>
        <v>815200</v>
      </c>
      <c r="E198" s="93" t="s">
        <v>512</v>
      </c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>
        <f>VLOOKUP(B:B,'[3]תשלומים 2017'!B:R,15,0)</f>
        <v>31000</v>
      </c>
      <c r="Q198" s="95">
        <f>VLOOKUP(B:B,'[3]דוח כספי 10.17 מעודכן'!A:D,4,0)</f>
        <v>15210</v>
      </c>
      <c r="R198" s="95">
        <f>VLOOKUP(B:B,'[3]תשלומים 2017'!B:T,17,0)</f>
        <v>20000</v>
      </c>
      <c r="S198" s="95">
        <f t="shared" si="58"/>
        <v>18252</v>
      </c>
      <c r="T198" s="95">
        <v>18000</v>
      </c>
      <c r="U198" s="110"/>
      <c r="V198" s="110"/>
      <c r="W198" s="97"/>
      <c r="X198" s="91"/>
      <c r="Y198" s="85"/>
      <c r="Z198" s="98"/>
      <c r="AA198" s="85"/>
      <c r="AB198" s="85"/>
      <c r="AC198" s="85"/>
      <c r="AD198" s="85"/>
      <c r="AE198" s="85"/>
      <c r="AF198" s="85"/>
      <c r="AG198" s="83">
        <f t="shared" si="59"/>
        <v>15790</v>
      </c>
    </row>
    <row r="199" spans="1:33" ht="24.95" customHeight="1">
      <c r="A199" s="85">
        <v>19</v>
      </c>
      <c r="B199" s="92">
        <v>1815200580</v>
      </c>
      <c r="C199" s="109" t="str">
        <f t="shared" si="60"/>
        <v>580</v>
      </c>
      <c r="D199" s="109" t="str">
        <f t="shared" si="57"/>
        <v>815200</v>
      </c>
      <c r="E199" s="93" t="s">
        <v>513</v>
      </c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>
        <f>VLOOKUP(B:B,'[3]תשלומים 2017'!B:R,15,0)</f>
        <v>67000</v>
      </c>
      <c r="Q199" s="95">
        <f>VLOOKUP(B:B,'[3]דוח כספי 10.17 מעודכן'!A:D,4,0)</f>
        <v>77850</v>
      </c>
      <c r="R199" s="95">
        <f>VLOOKUP(B:B,'[3]תשלומים 2017'!B:T,17,0)</f>
        <v>94000</v>
      </c>
      <c r="S199" s="95">
        <f t="shared" si="58"/>
        <v>93420</v>
      </c>
      <c r="T199" s="95">
        <v>94000</v>
      </c>
      <c r="U199" s="110"/>
      <c r="V199" s="110"/>
      <c r="W199" s="97"/>
      <c r="X199" s="91"/>
      <c r="Y199" s="85"/>
      <c r="Z199" s="98"/>
      <c r="AA199" s="85"/>
      <c r="AB199" s="85"/>
      <c r="AC199" s="85"/>
      <c r="AD199" s="85"/>
      <c r="AE199" s="85"/>
      <c r="AF199" s="85"/>
      <c r="AG199" s="83">
        <f t="shared" si="59"/>
        <v>-10850</v>
      </c>
    </row>
    <row r="200" spans="1:33" ht="24.95" customHeight="1">
      <c r="A200" s="85">
        <v>19</v>
      </c>
      <c r="B200" s="92">
        <v>1815200650</v>
      </c>
      <c r="C200" s="109" t="str">
        <f t="shared" si="60"/>
        <v>650</v>
      </c>
      <c r="D200" s="109" t="str">
        <f t="shared" si="57"/>
        <v>815200</v>
      </c>
      <c r="E200" s="93" t="s">
        <v>514</v>
      </c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>
        <f>VLOOKUP(B:B,'[3]תשלומים 2017'!B:R,15,0)</f>
        <v>0</v>
      </c>
      <c r="Q200" s="95">
        <f>VLOOKUP(B:B,'[3]דוח כספי 10.17 מעודכן'!A:D,4,0)</f>
        <v>0</v>
      </c>
      <c r="R200" s="95">
        <f>VLOOKUP(B:B,'[3]תשלומים 2017'!B:T,17,0)</f>
        <v>0</v>
      </c>
      <c r="S200" s="95">
        <f t="shared" si="58"/>
        <v>0</v>
      </c>
      <c r="T200" s="95">
        <v>0</v>
      </c>
      <c r="U200" s="110"/>
      <c r="V200" s="110"/>
      <c r="W200" s="97"/>
      <c r="X200" s="91"/>
      <c r="Y200" s="85"/>
      <c r="Z200" s="98"/>
      <c r="AA200" s="85"/>
      <c r="AB200" s="85"/>
      <c r="AC200" s="85"/>
      <c r="AD200" s="85"/>
      <c r="AE200" s="85"/>
      <c r="AF200" s="85"/>
      <c r="AG200" s="83">
        <f t="shared" si="59"/>
        <v>0</v>
      </c>
    </row>
    <row r="201" spans="1:33" ht="24.95" customHeight="1">
      <c r="A201" s="85">
        <v>19</v>
      </c>
      <c r="B201" s="92">
        <v>1815200720</v>
      </c>
      <c r="C201" s="109" t="str">
        <f t="shared" si="60"/>
        <v>720</v>
      </c>
      <c r="D201" s="109" t="str">
        <f t="shared" si="57"/>
        <v>815200</v>
      </c>
      <c r="E201" s="93" t="s">
        <v>515</v>
      </c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>
        <f>VLOOKUP(B:B,'[3]תשלומים 2017'!B:R,15,0)</f>
        <v>0</v>
      </c>
      <c r="Q201" s="95">
        <f>VLOOKUP(B:B,'[3]דוח כספי 10.17 מעודכן'!A:D,4,0)</f>
        <v>48933</v>
      </c>
      <c r="R201" s="95">
        <f>VLOOKUP(B:B,'[3]תשלומים 2017'!B:T,17,0)</f>
        <v>60000</v>
      </c>
      <c r="S201" s="95">
        <f t="shared" si="58"/>
        <v>58719.600000000006</v>
      </c>
      <c r="T201" s="95">
        <v>59000</v>
      </c>
      <c r="U201" s="110"/>
      <c r="V201" s="110"/>
      <c r="W201" s="97"/>
      <c r="X201" s="91"/>
      <c r="Y201" s="85"/>
      <c r="Z201" s="98"/>
      <c r="AA201" s="85"/>
      <c r="AB201" s="85"/>
      <c r="AC201" s="85"/>
      <c r="AD201" s="85"/>
      <c r="AE201" s="85"/>
      <c r="AF201" s="85"/>
      <c r="AG201" s="83">
        <f t="shared" si="59"/>
        <v>-48933</v>
      </c>
    </row>
    <row r="202" spans="1:33" ht="24.95" customHeight="1">
      <c r="A202" s="85">
        <v>19</v>
      </c>
      <c r="B202" s="92">
        <v>1815200730</v>
      </c>
      <c r="C202" s="109" t="str">
        <f t="shared" si="60"/>
        <v>730</v>
      </c>
      <c r="D202" s="109" t="str">
        <f t="shared" si="57"/>
        <v>815200</v>
      </c>
      <c r="E202" s="93" t="s">
        <v>516</v>
      </c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>
        <f>VLOOKUP(B:B,'[3]תשלומים 2017'!B:R,15,0)</f>
        <v>0</v>
      </c>
      <c r="Q202" s="95">
        <f>VLOOKUP(B:B,'[3]דוח כספי 10.17 מעודכן'!A:D,4,0)</f>
        <v>41919.9</v>
      </c>
      <c r="R202" s="95">
        <f>VLOOKUP(B:B,'[3]תשלומים 2017'!B:T,17,0)</f>
        <v>50000</v>
      </c>
      <c r="S202" s="95">
        <f t="shared" si="58"/>
        <v>50303.88</v>
      </c>
      <c r="T202" s="95">
        <v>50000</v>
      </c>
      <c r="U202" s="110"/>
      <c r="V202" s="110"/>
      <c r="W202" s="97"/>
      <c r="X202" s="91"/>
      <c r="Y202" s="85"/>
      <c r="Z202" s="98"/>
      <c r="AA202" s="85"/>
      <c r="AB202" s="85"/>
      <c r="AC202" s="85"/>
      <c r="AD202" s="85"/>
      <c r="AE202" s="85"/>
      <c r="AF202" s="85"/>
      <c r="AG202" s="83">
        <f t="shared" si="59"/>
        <v>-41919.9</v>
      </c>
    </row>
    <row r="203" spans="1:33" ht="24.95" customHeight="1">
      <c r="A203" s="85">
        <v>19</v>
      </c>
      <c r="B203" s="92">
        <v>1815200750</v>
      </c>
      <c r="C203" s="109" t="str">
        <f t="shared" si="60"/>
        <v>750</v>
      </c>
      <c r="D203" s="109" t="str">
        <f t="shared" si="57"/>
        <v>815200</v>
      </c>
      <c r="E203" s="93" t="s">
        <v>517</v>
      </c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>
        <f>VLOOKUP(B:B,'[3]תשלומים 2017'!B:R,15,0)</f>
        <v>88000</v>
      </c>
      <c r="Q203" s="95">
        <f>VLOOKUP(B:B,'[3]דוח כספי 10.17 מעודכן'!A:D,4,0)</f>
        <v>0</v>
      </c>
      <c r="R203" s="95">
        <f>VLOOKUP(B:B,'[3]תשלומים 2017'!B:T,17,0)</f>
        <v>0</v>
      </c>
      <c r="S203" s="95">
        <f t="shared" si="58"/>
        <v>0</v>
      </c>
      <c r="T203" s="95">
        <v>0</v>
      </c>
      <c r="U203" s="110"/>
      <c r="V203" s="110"/>
      <c r="W203" s="97"/>
      <c r="X203" s="91"/>
      <c r="Y203" s="85"/>
      <c r="Z203" s="98"/>
      <c r="AA203" s="85"/>
      <c r="AB203" s="85"/>
      <c r="AC203" s="85"/>
      <c r="AD203" s="85"/>
      <c r="AE203" s="85"/>
      <c r="AF203" s="85"/>
      <c r="AG203" s="83">
        <f t="shared" si="59"/>
        <v>88000</v>
      </c>
    </row>
    <row r="204" spans="1:33" ht="24.95" customHeight="1">
      <c r="A204" s="85">
        <v>19</v>
      </c>
      <c r="B204" s="92">
        <v>1815200780</v>
      </c>
      <c r="C204" s="109" t="str">
        <f t="shared" si="60"/>
        <v>780</v>
      </c>
      <c r="D204" s="109" t="str">
        <f t="shared" si="57"/>
        <v>815200</v>
      </c>
      <c r="E204" s="93" t="s">
        <v>518</v>
      </c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>
        <f>VLOOKUP(B:B,'[3]תשלומים 2017'!B:R,15,0)</f>
        <v>12000</v>
      </c>
      <c r="Q204" s="95">
        <f>VLOOKUP(B:B,'[3]דוח כספי 10.17 מעודכן'!A:D,4,0)</f>
        <v>13982</v>
      </c>
      <c r="R204" s="95">
        <f>VLOOKUP(B:B,'[3]תשלומים 2017'!B:T,17,0)</f>
        <v>17000</v>
      </c>
      <c r="S204" s="95">
        <f t="shared" si="58"/>
        <v>16778.400000000001</v>
      </c>
      <c r="T204" s="95">
        <v>17000</v>
      </c>
      <c r="U204" s="110"/>
      <c r="V204" s="110"/>
      <c r="W204" s="97"/>
      <c r="X204" s="91"/>
      <c r="Y204" s="85"/>
      <c r="Z204" s="98"/>
      <c r="AA204" s="85"/>
      <c r="AB204" s="85"/>
      <c r="AC204" s="85"/>
      <c r="AD204" s="85"/>
      <c r="AE204" s="85"/>
      <c r="AF204" s="85"/>
      <c r="AG204" s="83">
        <f t="shared" si="59"/>
        <v>-1982</v>
      </c>
    </row>
    <row r="205" spans="1:33" ht="24.95" customHeight="1">
      <c r="A205" s="85">
        <v>19</v>
      </c>
      <c r="B205" s="92">
        <v>1815200790</v>
      </c>
      <c r="C205" s="109" t="str">
        <f t="shared" si="60"/>
        <v>790</v>
      </c>
      <c r="D205" s="109" t="str">
        <f t="shared" si="57"/>
        <v>815200</v>
      </c>
      <c r="E205" s="93" t="s">
        <v>519</v>
      </c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>
        <f>VLOOKUP(B:B,'[3]תשלומים 2017'!B:R,15,0)</f>
        <v>0</v>
      </c>
      <c r="Q205" s="95">
        <f>VLOOKUP(B:B,'[3]דוח כספי 10.17 מעודכן'!A:D,4,0)</f>
        <v>0</v>
      </c>
      <c r="R205" s="95">
        <f>VLOOKUP(B:B,'[3]תשלומים 2017'!B:T,17,0)</f>
        <v>0</v>
      </c>
      <c r="S205" s="95">
        <f t="shared" si="58"/>
        <v>0</v>
      </c>
      <c r="T205" s="95">
        <v>0</v>
      </c>
      <c r="U205" s="110"/>
      <c r="V205" s="110"/>
      <c r="W205" s="97"/>
      <c r="X205" s="91"/>
      <c r="Y205" s="85"/>
      <c r="Z205" s="98"/>
      <c r="AA205" s="85"/>
      <c r="AB205" s="85"/>
      <c r="AC205" s="85"/>
      <c r="AD205" s="85"/>
      <c r="AE205" s="85"/>
      <c r="AF205" s="85"/>
      <c r="AG205" s="83">
        <f t="shared" si="59"/>
        <v>0</v>
      </c>
    </row>
    <row r="206" spans="1:33" ht="24.95" customHeight="1">
      <c r="A206" s="85">
        <v>19</v>
      </c>
      <c r="B206" s="92">
        <v>1815200800</v>
      </c>
      <c r="C206" s="109" t="str">
        <f t="shared" si="60"/>
        <v>800</v>
      </c>
      <c r="D206" s="109" t="str">
        <f t="shared" si="57"/>
        <v>815200</v>
      </c>
      <c r="E206" s="93" t="s">
        <v>520</v>
      </c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>
        <f>VLOOKUP(B:B,'[3]תשלומים 2017'!B:R,15,0)</f>
        <v>0</v>
      </c>
      <c r="Q206" s="95">
        <f>VLOOKUP(B:B,'[3]דוח כספי 10.17 מעודכן'!A:D,4,0)</f>
        <v>19040</v>
      </c>
      <c r="R206" s="95">
        <f>VLOOKUP(B:B,'[3]תשלומים 2017'!B:T,17,0)</f>
        <v>23000</v>
      </c>
      <c r="S206" s="95">
        <f t="shared" si="58"/>
        <v>22848</v>
      </c>
      <c r="T206" s="95">
        <v>23000</v>
      </c>
      <c r="U206" s="110"/>
      <c r="V206" s="110"/>
      <c r="W206" s="97"/>
      <c r="X206" s="91"/>
      <c r="Y206" s="85"/>
      <c r="Z206" s="98"/>
      <c r="AA206" s="85"/>
      <c r="AB206" s="85"/>
      <c r="AC206" s="85"/>
      <c r="AD206" s="85"/>
      <c r="AE206" s="85"/>
      <c r="AF206" s="85"/>
      <c r="AG206" s="83">
        <f t="shared" si="59"/>
        <v>-19040</v>
      </c>
    </row>
    <row r="207" spans="1:33" ht="24.95" customHeight="1">
      <c r="A207" s="85">
        <v>19</v>
      </c>
      <c r="B207" s="92">
        <v>1815200810</v>
      </c>
      <c r="C207" s="109" t="str">
        <f t="shared" si="60"/>
        <v>810</v>
      </c>
      <c r="D207" s="109" t="str">
        <f t="shared" si="57"/>
        <v>815200</v>
      </c>
      <c r="E207" s="93" t="s">
        <v>521</v>
      </c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>
        <f>VLOOKUP(B:B,'[3]תשלומים 2017'!B:R,15,0)</f>
        <v>5000</v>
      </c>
      <c r="Q207" s="95">
        <f>VLOOKUP(B:B,'[3]דוח כספי 10.17 מעודכן'!A:D,4,0)</f>
        <v>5500</v>
      </c>
      <c r="R207" s="95">
        <f>VLOOKUP(B:B,'[3]תשלומים 2017'!B:T,17,0)</f>
        <v>7000</v>
      </c>
      <c r="S207" s="95">
        <f t="shared" si="58"/>
        <v>6600</v>
      </c>
      <c r="T207" s="95">
        <v>7000</v>
      </c>
      <c r="U207" s="110"/>
      <c r="V207" s="110"/>
      <c r="W207" s="97"/>
      <c r="X207" s="91"/>
      <c r="Y207" s="85"/>
      <c r="Z207" s="98"/>
      <c r="AA207" s="85"/>
      <c r="AB207" s="85"/>
      <c r="AC207" s="85"/>
      <c r="AD207" s="85"/>
      <c r="AE207" s="85"/>
      <c r="AF207" s="85"/>
      <c r="AG207" s="83">
        <f t="shared" si="59"/>
        <v>-500</v>
      </c>
    </row>
    <row r="208" spans="1:33" ht="24.95" customHeight="1">
      <c r="A208" s="85">
        <v>19</v>
      </c>
      <c r="B208" s="92">
        <v>1815200850</v>
      </c>
      <c r="C208" s="109" t="str">
        <f t="shared" si="60"/>
        <v>850</v>
      </c>
      <c r="D208" s="109" t="str">
        <f t="shared" si="57"/>
        <v>815200</v>
      </c>
      <c r="E208" s="93" t="s">
        <v>522</v>
      </c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>
        <f>VLOOKUP(B:B,'[3]תשלומים 2017'!B:R,15,0)</f>
        <v>0</v>
      </c>
      <c r="Q208" s="95">
        <f>VLOOKUP(B:B,'[3]דוח כספי 10.17 מעודכן'!A:D,4,0)</f>
        <v>0</v>
      </c>
      <c r="R208" s="95">
        <f>VLOOKUP(B:B,'[3]תשלומים 2017'!B:T,17,0)</f>
        <v>0</v>
      </c>
      <c r="S208" s="95">
        <f t="shared" si="58"/>
        <v>0</v>
      </c>
      <c r="T208" s="95">
        <v>0</v>
      </c>
      <c r="U208" s="110"/>
      <c r="V208" s="110"/>
      <c r="W208" s="97"/>
      <c r="X208" s="91"/>
      <c r="Y208" s="85"/>
      <c r="Z208" s="98"/>
      <c r="AA208" s="85"/>
      <c r="AB208" s="85"/>
      <c r="AC208" s="85"/>
      <c r="AD208" s="85"/>
      <c r="AE208" s="85"/>
      <c r="AF208" s="85"/>
      <c r="AG208" s="83">
        <f t="shared" si="59"/>
        <v>0</v>
      </c>
    </row>
    <row r="209" spans="1:35" ht="24.95" customHeight="1">
      <c r="A209" s="85">
        <v>19</v>
      </c>
      <c r="B209" s="92">
        <v>1815200930</v>
      </c>
      <c r="C209" s="109" t="str">
        <f t="shared" si="60"/>
        <v>930</v>
      </c>
      <c r="D209" s="109" t="str">
        <f t="shared" si="57"/>
        <v>815200</v>
      </c>
      <c r="E209" s="93" t="s">
        <v>390</v>
      </c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>
        <f>VLOOKUP(B:B,'[3]תשלומים 2017'!B:R,15,0)</f>
        <v>4000</v>
      </c>
      <c r="Q209" s="95">
        <f>VLOOKUP(B:B,'[3]דוח כספי 10.17 מעודכן'!A:D,4,0)</f>
        <v>0</v>
      </c>
      <c r="R209" s="95">
        <f>VLOOKUP(B:B,'[3]תשלומים 2017'!B:T,17,0)</f>
        <v>0</v>
      </c>
      <c r="S209" s="95">
        <f t="shared" si="58"/>
        <v>0</v>
      </c>
      <c r="T209" s="95">
        <v>0</v>
      </c>
      <c r="U209" s="110"/>
      <c r="V209" s="110"/>
      <c r="W209" s="97"/>
      <c r="X209" s="91"/>
      <c r="Y209" s="85"/>
      <c r="Z209" s="98"/>
      <c r="AA209" s="85"/>
      <c r="AB209" s="85"/>
      <c r="AC209" s="85"/>
      <c r="AD209" s="85"/>
      <c r="AE209" s="85"/>
      <c r="AF209" s="85"/>
      <c r="AG209" s="83">
        <f t="shared" si="59"/>
        <v>4000</v>
      </c>
    </row>
    <row r="210" spans="1:35" ht="24.95" customHeight="1">
      <c r="A210" s="85">
        <v>19</v>
      </c>
      <c r="B210" s="92">
        <v>1815210580</v>
      </c>
      <c r="C210" s="109" t="str">
        <f t="shared" si="60"/>
        <v>580</v>
      </c>
      <c r="D210" s="109" t="str">
        <f t="shared" si="57"/>
        <v>815210</v>
      </c>
      <c r="E210" s="93" t="s">
        <v>523</v>
      </c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>
        <f>VLOOKUP(B:B,'[3]תשלומים 2017'!B:R,15,0)</f>
        <v>5000</v>
      </c>
      <c r="Q210" s="95">
        <f>VLOOKUP(B:B,'[3]דוח כספי 10.17 מעודכן'!A:D,4,0)</f>
        <v>0</v>
      </c>
      <c r="R210" s="95">
        <f>VLOOKUP(B:B,'[3]תשלומים 2017'!B:T,17,0)</f>
        <v>0</v>
      </c>
      <c r="S210" s="95">
        <f t="shared" si="58"/>
        <v>0</v>
      </c>
      <c r="T210" s="95">
        <v>0</v>
      </c>
      <c r="U210" s="110"/>
      <c r="V210" s="110"/>
      <c r="W210" s="97"/>
      <c r="X210" s="91"/>
      <c r="Y210" s="85"/>
      <c r="Z210" s="98"/>
      <c r="AA210" s="85"/>
      <c r="AB210" s="85"/>
      <c r="AC210" s="85"/>
      <c r="AD210" s="85"/>
      <c r="AE210" s="85"/>
      <c r="AF210" s="85"/>
      <c r="AG210" s="83">
        <f t="shared" si="59"/>
        <v>5000</v>
      </c>
    </row>
    <row r="211" spans="1:35" ht="24.95" customHeight="1">
      <c r="A211" s="85">
        <v>19</v>
      </c>
      <c r="B211" s="92">
        <v>1815210720</v>
      </c>
      <c r="C211" s="109" t="str">
        <f t="shared" si="60"/>
        <v>720</v>
      </c>
      <c r="D211" s="109" t="str">
        <f t="shared" si="57"/>
        <v>815210</v>
      </c>
      <c r="E211" s="93" t="s">
        <v>524</v>
      </c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>
        <f>VLOOKUP(B:B,'[3]תשלומים 2017'!B:R,15,0)</f>
        <v>0</v>
      </c>
      <c r="Q211" s="95">
        <f>VLOOKUP(B:B,'[3]דוח כספי 10.17 מעודכן'!A:D,4,0)</f>
        <v>1600</v>
      </c>
      <c r="R211" s="95">
        <f>VLOOKUP(B:B,'[3]תשלומים 2017'!B:T,17,0)</f>
        <v>2000</v>
      </c>
      <c r="S211" s="95">
        <f t="shared" si="58"/>
        <v>1920</v>
      </c>
      <c r="T211" s="95">
        <v>2000</v>
      </c>
      <c r="U211" s="110"/>
      <c r="V211" s="110"/>
      <c r="W211" s="97"/>
      <c r="X211" s="91"/>
      <c r="Y211" s="85"/>
      <c r="Z211" s="98"/>
      <c r="AA211" s="85"/>
      <c r="AB211" s="85"/>
      <c r="AC211" s="85"/>
      <c r="AD211" s="85"/>
      <c r="AE211" s="85"/>
      <c r="AF211" s="85"/>
      <c r="AG211" s="83">
        <f t="shared" si="59"/>
        <v>-1600</v>
      </c>
    </row>
    <row r="212" spans="1:35" ht="24.95" customHeight="1">
      <c r="A212" s="85">
        <v>19</v>
      </c>
      <c r="B212" s="92">
        <v>1815210930</v>
      </c>
      <c r="C212" s="109" t="str">
        <f t="shared" si="60"/>
        <v>930</v>
      </c>
      <c r="D212" s="109" t="str">
        <f t="shared" si="57"/>
        <v>815210</v>
      </c>
      <c r="E212" s="93" t="s">
        <v>525</v>
      </c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>
        <f>VLOOKUP(B:B,'[3]תשלומים 2017'!B:R,15,0)</f>
        <v>16000</v>
      </c>
      <c r="Q212" s="95">
        <f>VLOOKUP(B:B,'[3]דוח כספי 10.17 מעודכן'!A:D,4,0)</f>
        <v>0</v>
      </c>
      <c r="R212" s="95">
        <f>VLOOKUP(B:B,'[3]תשלומים 2017'!B:T,17,0)</f>
        <v>0</v>
      </c>
      <c r="S212" s="95">
        <f t="shared" si="58"/>
        <v>0</v>
      </c>
      <c r="T212" s="95">
        <v>0</v>
      </c>
      <c r="U212" s="110"/>
      <c r="V212" s="110"/>
      <c r="W212" s="97"/>
      <c r="X212" s="91"/>
      <c r="Y212" s="85"/>
      <c r="Z212" s="98"/>
      <c r="AA212" s="85"/>
      <c r="AB212" s="85"/>
      <c r="AC212" s="85"/>
      <c r="AD212" s="85"/>
      <c r="AE212" s="85"/>
      <c r="AF212" s="85"/>
      <c r="AG212" s="83">
        <f t="shared" si="59"/>
        <v>16000</v>
      </c>
    </row>
    <row r="213" spans="1:35" ht="24.95" customHeight="1">
      <c r="A213" s="85">
        <v>19</v>
      </c>
      <c r="B213" s="92">
        <v>1815211930</v>
      </c>
      <c r="C213" s="109" t="str">
        <f t="shared" si="60"/>
        <v>930</v>
      </c>
      <c r="D213" s="109" t="str">
        <f t="shared" si="57"/>
        <v>815211</v>
      </c>
      <c r="E213" s="93" t="s">
        <v>526</v>
      </c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>
        <f>VLOOKUP(B:B,'[3]תשלומים 2017'!B:R,15,0)</f>
        <v>0</v>
      </c>
      <c r="Q213" s="95">
        <f>VLOOKUP(B:B,'[3]דוח כספי 10.17 מעודכן'!A:D,4,0)</f>
        <v>0</v>
      </c>
      <c r="R213" s="95">
        <f>VLOOKUP(B:B,'[3]תשלומים 2017'!B:T,17,0)</f>
        <v>0</v>
      </c>
      <c r="S213" s="95">
        <f t="shared" si="58"/>
        <v>0</v>
      </c>
      <c r="T213" s="95">
        <v>0</v>
      </c>
      <c r="U213" s="110"/>
      <c r="V213" s="110"/>
      <c r="W213" s="97"/>
      <c r="X213" s="91"/>
      <c r="Y213" s="85"/>
      <c r="Z213" s="98"/>
      <c r="AA213" s="85"/>
      <c r="AB213" s="85"/>
      <c r="AC213" s="85"/>
      <c r="AD213" s="85"/>
      <c r="AE213" s="85"/>
      <c r="AF213" s="85"/>
      <c r="AG213" s="83">
        <f t="shared" si="59"/>
        <v>0</v>
      </c>
    </row>
    <row r="214" spans="1:35" ht="24.95" customHeight="1">
      <c r="A214" s="85">
        <v>19</v>
      </c>
      <c r="B214" s="92">
        <v>1815212930</v>
      </c>
      <c r="C214" s="109" t="str">
        <f t="shared" si="60"/>
        <v>930</v>
      </c>
      <c r="D214" s="109" t="str">
        <f t="shared" si="57"/>
        <v>815212</v>
      </c>
      <c r="E214" s="93" t="s">
        <v>527</v>
      </c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>
        <f>VLOOKUP(B:B,'[3]תשלומים 2017'!B:R,15,0)</f>
        <v>0</v>
      </c>
      <c r="Q214" s="95">
        <f>VLOOKUP(B:B,'[3]דוח כספי 10.17 מעודכן'!A:D,4,0)</f>
        <v>2106</v>
      </c>
      <c r="R214" s="95">
        <f>VLOOKUP(B:B,'[3]תשלומים 2017'!B:T,17,0)</f>
        <v>3000</v>
      </c>
      <c r="S214" s="95">
        <f t="shared" si="58"/>
        <v>2527.1999999999998</v>
      </c>
      <c r="T214" s="95">
        <v>3000</v>
      </c>
      <c r="U214" s="110"/>
      <c r="V214" s="110"/>
      <c r="W214" s="97"/>
      <c r="X214" s="91"/>
      <c r="Y214" s="85"/>
      <c r="Z214" s="98"/>
      <c r="AA214" s="85"/>
      <c r="AB214" s="85"/>
      <c r="AC214" s="85"/>
      <c r="AD214" s="85"/>
      <c r="AE214" s="85"/>
      <c r="AF214" s="85"/>
      <c r="AG214" s="83">
        <f t="shared" si="59"/>
        <v>-2106</v>
      </c>
    </row>
    <row r="215" spans="1:35" ht="24.95" customHeight="1">
      <c r="A215" s="85">
        <v>19</v>
      </c>
      <c r="B215" s="92">
        <v>1815300431</v>
      </c>
      <c r="C215" s="109" t="str">
        <f t="shared" si="60"/>
        <v>431</v>
      </c>
      <c r="D215" s="109" t="str">
        <f t="shared" si="57"/>
        <v>815300</v>
      </c>
      <c r="E215" s="93" t="s">
        <v>528</v>
      </c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>
        <f>VLOOKUP(B:B,'[3]תשלומים 2017'!B:R,15,0)</f>
        <v>74000</v>
      </c>
      <c r="Q215" s="95">
        <f>VLOOKUP(B:B,'[3]דוח כספי 10.17 מעודכן'!A:D,4,0)</f>
        <v>73944.759999999995</v>
      </c>
      <c r="R215" s="95">
        <f>VLOOKUP(B:B,'[3]תשלומים 2017'!B:T,17,0)</f>
        <v>90000</v>
      </c>
      <c r="S215" s="95">
        <f t="shared" si="58"/>
        <v>88733.712</v>
      </c>
      <c r="T215" s="95">
        <v>90000</v>
      </c>
      <c r="U215" s="110"/>
      <c r="V215" s="110"/>
      <c r="W215" s="97"/>
      <c r="X215" s="91"/>
      <c r="Y215" s="85"/>
      <c r="Z215" s="98"/>
      <c r="AA215" s="85"/>
      <c r="AB215" s="85"/>
      <c r="AC215" s="85"/>
      <c r="AD215" s="85"/>
      <c r="AE215" s="85"/>
      <c r="AF215" s="85"/>
      <c r="AG215" s="83">
        <f t="shared" si="59"/>
        <v>55.240000000005239</v>
      </c>
    </row>
    <row r="216" spans="1:35" ht="24.95" customHeight="1">
      <c r="A216" s="85">
        <v>20</v>
      </c>
      <c r="B216" s="18">
        <v>1815700110</v>
      </c>
      <c r="C216" s="117" t="str">
        <f t="shared" si="60"/>
        <v>110</v>
      </c>
      <c r="D216" s="117" t="str">
        <f t="shared" si="57"/>
        <v>815700</v>
      </c>
      <c r="E216" s="19" t="s">
        <v>529</v>
      </c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>
        <f>VLOOKUP(B:B,'[3]תשלומים 2017'!B:R,15,0)</f>
        <v>9666000</v>
      </c>
      <c r="Q216" s="119">
        <f>VLOOKUP(B:B,'[3]דוח כספי 10.17 מעודכן'!A:D,4,0)</f>
        <v>7577252.8799999999</v>
      </c>
      <c r="R216" s="119">
        <f>VLOOKUP(B:B,'[3]תשלומים 2017'!B:T,17,0)</f>
        <v>9900000</v>
      </c>
      <c r="S216" s="119">
        <f>Q216/9*12</f>
        <v>10103003.84</v>
      </c>
      <c r="T216" s="119">
        <v>10871000</v>
      </c>
      <c r="U216" s="131">
        <v>52.52</v>
      </c>
      <c r="V216" s="131">
        <f>52.52+3.08</f>
        <v>55.6</v>
      </c>
      <c r="W216" s="97"/>
      <c r="X216" s="91"/>
      <c r="Y216" s="85"/>
      <c r="Z216" s="98"/>
      <c r="AA216" s="85"/>
      <c r="AB216" s="85"/>
      <c r="AC216" s="85"/>
      <c r="AD216" s="85"/>
      <c r="AE216" s="85"/>
      <c r="AF216" s="85"/>
      <c r="AG216"/>
      <c r="AI216" s="130"/>
    </row>
    <row r="217" spans="1:35" ht="24.95" customHeight="1">
      <c r="A217" s="85">
        <v>20</v>
      </c>
      <c r="B217" s="18">
        <v>1815700312</v>
      </c>
      <c r="C217" s="117" t="str">
        <f t="shared" si="60"/>
        <v>312</v>
      </c>
      <c r="D217" s="117" t="str">
        <f t="shared" si="57"/>
        <v>815700</v>
      </c>
      <c r="E217" s="19" t="s">
        <v>530</v>
      </c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>
        <f>VLOOKUP(B:B,'[3]תשלומים 2017'!B:R,15,0)</f>
        <v>0</v>
      </c>
      <c r="Q217" s="119">
        <f>VLOOKUP(B:B,'[3]דוח כספי 10.17 מעודכן'!A:D,4,0)</f>
        <v>0</v>
      </c>
      <c r="R217" s="119">
        <f>VLOOKUP(B:B,'[3]תשלומים 2017'!B:T,17,0)</f>
        <v>0</v>
      </c>
      <c r="S217" s="119">
        <f>Q217/10*12</f>
        <v>0</v>
      </c>
      <c r="T217" s="119">
        <v>0</v>
      </c>
      <c r="U217" s="132"/>
      <c r="V217" s="132"/>
      <c r="W217" s="97"/>
      <c r="X217" s="91"/>
      <c r="Y217" s="85"/>
      <c r="Z217" s="98"/>
      <c r="AA217" s="85"/>
      <c r="AB217" s="85"/>
      <c r="AC217" s="85"/>
      <c r="AD217" s="85"/>
      <c r="AE217" s="85"/>
      <c r="AF217" s="85"/>
      <c r="AG217"/>
    </row>
    <row r="218" spans="1:35" s="108" customFormat="1" ht="24.95" customHeight="1">
      <c r="A218" s="99">
        <v>19</v>
      </c>
      <c r="B218" s="24">
        <v>1815710432</v>
      </c>
      <c r="C218" s="127" t="str">
        <f t="shared" si="60"/>
        <v>432</v>
      </c>
      <c r="D218" s="127" t="str">
        <f t="shared" si="57"/>
        <v>815710</v>
      </c>
      <c r="E218" s="25" t="s">
        <v>531</v>
      </c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>
        <f>VLOOKUP(B:B,'[3]תשלומים 2017'!B:R,15,0)</f>
        <v>0</v>
      </c>
      <c r="Q218" s="129">
        <f>VLOOKUP(B:B,'[3]דוח כספי 10.17 מעודכן'!A:D,4,0)</f>
        <v>440000</v>
      </c>
      <c r="R218" s="129">
        <f>VLOOKUP(B:B,'[3]תשלומים 2017'!B:T,17,0)</f>
        <v>440000</v>
      </c>
      <c r="S218" s="129">
        <f>Q218/10*12</f>
        <v>528000</v>
      </c>
      <c r="T218" s="129">
        <v>520000</v>
      </c>
      <c r="U218" s="133"/>
      <c r="V218" s="133"/>
      <c r="W218" s="105"/>
      <c r="X218" s="106"/>
      <c r="Y218" s="99"/>
      <c r="Z218" s="107"/>
      <c r="AA218" s="99"/>
      <c r="AB218" s="99"/>
      <c r="AC218" s="99"/>
      <c r="AD218" s="99"/>
      <c r="AE218" s="99"/>
      <c r="AF218" s="99"/>
      <c r="AG218" s="115">
        <f>P218-Q218</f>
        <v>-440000</v>
      </c>
      <c r="AI218" s="108" t="s">
        <v>532</v>
      </c>
    </row>
    <row r="219" spans="1:35" ht="24.95" customHeight="1">
      <c r="A219" s="85">
        <v>19</v>
      </c>
      <c r="B219" s="18">
        <v>1815710810</v>
      </c>
      <c r="C219" s="117" t="str">
        <f t="shared" si="60"/>
        <v>810</v>
      </c>
      <c r="D219" s="117" t="str">
        <f t="shared" si="57"/>
        <v>815710</v>
      </c>
      <c r="E219" s="19" t="s">
        <v>140</v>
      </c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>
        <f>VLOOKUP(B:B,'[3]תשלומים 2017'!B:R,15,0)</f>
        <v>0</v>
      </c>
      <c r="Q219" s="119">
        <f>VLOOKUP(B:B,'[3]דוח כספי 10.17 מעודכן'!A:D,4,0)</f>
        <v>0</v>
      </c>
      <c r="R219" s="119">
        <f>VLOOKUP(B:B,'[3]תשלומים 2017'!B:T,17,0)</f>
        <v>0</v>
      </c>
      <c r="S219" s="119">
        <f>Q219/10*12</f>
        <v>0</v>
      </c>
      <c r="T219" s="119">
        <v>0</v>
      </c>
      <c r="U219" s="132"/>
      <c r="V219" s="132"/>
      <c r="W219" s="97"/>
      <c r="X219" s="91"/>
      <c r="Y219" s="85"/>
      <c r="Z219" s="98"/>
      <c r="AA219" s="85"/>
      <c r="AB219" s="85"/>
      <c r="AC219" s="85"/>
      <c r="AD219" s="85"/>
      <c r="AE219" s="85"/>
      <c r="AF219" s="85"/>
      <c r="AG219" s="83">
        <f>P219-Q219</f>
        <v>0</v>
      </c>
    </row>
    <row r="220" spans="1:35" ht="24.95" customHeight="1">
      <c r="A220" s="85">
        <v>20</v>
      </c>
      <c r="B220" s="18">
        <v>1815800110</v>
      </c>
      <c r="C220" s="117" t="str">
        <f t="shared" si="60"/>
        <v>110</v>
      </c>
      <c r="D220" s="117" t="str">
        <f t="shared" si="57"/>
        <v>815800</v>
      </c>
      <c r="E220" s="19" t="s">
        <v>533</v>
      </c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>
        <f>VLOOKUP(B:B,'[3]תשלומים 2017'!B:R,15,0)</f>
        <v>3242000</v>
      </c>
      <c r="Q220" s="119">
        <f>VLOOKUP(B:B,'[3]דוח כספי 10.17 מעודכן'!A:D,4,0)</f>
        <v>4232146.43</v>
      </c>
      <c r="R220" s="119">
        <f>VLOOKUP(B:B,'[3]תשלומים 2017'!B:T,17,0)</f>
        <v>5800000</v>
      </c>
      <c r="S220" s="119">
        <f>Q220/9*12</f>
        <v>5642861.9066666663</v>
      </c>
      <c r="T220" s="119">
        <v>5900000</v>
      </c>
      <c r="U220" s="132">
        <v>40.96</v>
      </c>
      <c r="V220" s="132">
        <f>40.963+3.86</f>
        <v>44.823</v>
      </c>
      <c r="W220" s="97"/>
      <c r="X220" s="91"/>
      <c r="Y220" s="85"/>
      <c r="Z220" s="98"/>
      <c r="AA220" s="85"/>
      <c r="AB220" s="85"/>
      <c r="AC220" s="85"/>
      <c r="AD220" s="85"/>
      <c r="AE220" s="85"/>
      <c r="AF220" s="85"/>
      <c r="AG220"/>
      <c r="AI220" s="130"/>
    </row>
    <row r="221" spans="1:35" s="1" customFormat="1" ht="24.95" customHeight="1">
      <c r="B221" s="28"/>
      <c r="C221" s="29"/>
      <c r="D221" s="29"/>
      <c r="E221" s="29" t="s">
        <v>534</v>
      </c>
      <c r="F221" s="30" t="e">
        <f>SUM(#REF!)</f>
        <v>#REF!</v>
      </c>
      <c r="G221" s="30" t="e">
        <f>SUM(#REF!)</f>
        <v>#REF!</v>
      </c>
      <c r="H221" s="30" t="e">
        <f>SUM(#REF!)</f>
        <v>#REF!</v>
      </c>
      <c r="I221" s="30" t="e">
        <f>SUM(#REF!)</f>
        <v>#REF!</v>
      </c>
      <c r="J221" s="30" t="e">
        <f>SUM(#REF!)</f>
        <v>#REF!</v>
      </c>
      <c r="K221" s="30" t="e">
        <f>SUM(#REF!)</f>
        <v>#REF!</v>
      </c>
      <c r="L221" s="30" t="e">
        <f>SUM(#REF!)</f>
        <v>#REF!</v>
      </c>
      <c r="M221" s="30" t="e">
        <f>SUM(#REF!)</f>
        <v>#REF!</v>
      </c>
      <c r="N221" s="30" t="e">
        <f>SUM(#REF!)</f>
        <v>#REF!</v>
      </c>
      <c r="O221" s="30" t="e">
        <f>SUM(#REF!)</f>
        <v>#REF!</v>
      </c>
      <c r="P221" s="30">
        <f t="shared" ref="P221:V221" si="61">SUM(P184:P220)</f>
        <v>14379000</v>
      </c>
      <c r="Q221" s="30">
        <f t="shared" si="61"/>
        <v>13496933.379999999</v>
      </c>
      <c r="R221" s="30">
        <f t="shared" si="61"/>
        <v>17807500</v>
      </c>
      <c r="S221" s="30">
        <f t="shared" si="61"/>
        <v>17849371.789333332</v>
      </c>
      <c r="T221" s="30">
        <f t="shared" si="61"/>
        <v>18951000</v>
      </c>
      <c r="U221" s="112">
        <f t="shared" si="61"/>
        <v>99.7</v>
      </c>
      <c r="V221" s="112">
        <f t="shared" si="61"/>
        <v>107.503</v>
      </c>
      <c r="W221" s="22" t="e">
        <f>SUM(#REF!)</f>
        <v>#REF!</v>
      </c>
      <c r="X221" s="23" t="e">
        <f>SUM(#REF!)</f>
        <v>#REF!</v>
      </c>
      <c r="Y221" s="5">
        <f>IF(ISBLANK(B221),1,--OR(L221&gt;1,M221&gt;1,N221&gt;1))</f>
        <v>1</v>
      </c>
      <c r="Z221" s="1">
        <v>0</v>
      </c>
      <c r="AG221" s="1">
        <f>P221-Q221</f>
        <v>882066.62000000104</v>
      </c>
    </row>
    <row r="222" spans="1:35" ht="24.95" customHeight="1">
      <c r="A222" s="85">
        <v>20</v>
      </c>
      <c r="B222" s="18">
        <v>1817000110</v>
      </c>
      <c r="C222" s="117" t="str">
        <f t="shared" si="60"/>
        <v>110</v>
      </c>
      <c r="D222" s="117" t="str">
        <f>MID(B222,2,6)</f>
        <v>817000</v>
      </c>
      <c r="E222" s="19" t="s">
        <v>413</v>
      </c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>
        <f>VLOOKUP(B:B,'[3]תשלומים 2017'!B:R,15,0)</f>
        <v>1365000</v>
      </c>
      <c r="Q222" s="119">
        <f>VLOOKUP(B:B,'[3]דוח כספי 10.17 מעודכן'!A:D,4,0)</f>
        <v>1280309.97</v>
      </c>
      <c r="R222" s="119">
        <f>VLOOKUP(B:B,'[3]תשלומים 2017'!B:T,17,0)</f>
        <v>1707000</v>
      </c>
      <c r="S222" s="119">
        <f>Q222/9*12</f>
        <v>1707079.96</v>
      </c>
      <c r="T222" s="119">
        <v>1918000</v>
      </c>
      <c r="U222" s="134">
        <v>9.8800000000000008</v>
      </c>
      <c r="V222" s="134">
        <f>9.88+6.78</f>
        <v>16.66</v>
      </c>
      <c r="W222" s="97"/>
      <c r="X222" s="91"/>
      <c r="Y222" s="85"/>
      <c r="Z222" s="98"/>
      <c r="AA222" s="85"/>
      <c r="AB222" s="85"/>
      <c r="AC222" s="85"/>
      <c r="AD222" s="85"/>
      <c r="AE222" s="85"/>
      <c r="AF222" s="85"/>
      <c r="AG222"/>
    </row>
    <row r="223" spans="1:35" ht="24.95" customHeight="1">
      <c r="A223" s="85">
        <v>19</v>
      </c>
      <c r="B223" s="92">
        <v>1817000460</v>
      </c>
      <c r="C223" s="109" t="str">
        <f t="shared" si="60"/>
        <v>460</v>
      </c>
      <c r="D223" s="109" t="str">
        <f>MID(B223,2,6)</f>
        <v>817000</v>
      </c>
      <c r="E223" s="93" t="s">
        <v>535</v>
      </c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>
        <f>VLOOKUP(B:B,'[3]תשלומים 2017'!B:R,15,0)</f>
        <v>5000</v>
      </c>
      <c r="Q223" s="95">
        <f>VLOOKUP(B:B,'[3]דוח כספי 10.17 מעודכן'!A:D,4,0)</f>
        <v>1501</v>
      </c>
      <c r="R223" s="95">
        <f>VLOOKUP(B:B,'[3]תשלומים 2017'!B:T,17,0)</f>
        <v>2000</v>
      </c>
      <c r="S223" s="95">
        <f>Q223/10*12</f>
        <v>1801.1999999999998</v>
      </c>
      <c r="T223" s="95">
        <v>2000</v>
      </c>
      <c r="U223" s="110"/>
      <c r="V223" s="110"/>
      <c r="W223" s="97"/>
      <c r="X223" s="91"/>
      <c r="Y223" s="85"/>
      <c r="Z223" s="98"/>
      <c r="AA223" s="85"/>
      <c r="AB223" s="85"/>
      <c r="AC223" s="85"/>
      <c r="AD223" s="85"/>
      <c r="AE223" s="85"/>
      <c r="AF223" s="85"/>
      <c r="AG223" s="83">
        <f>P223-Q223</f>
        <v>3499</v>
      </c>
    </row>
    <row r="224" spans="1:35" ht="24.95" customHeight="1">
      <c r="A224" s="85">
        <v>19</v>
      </c>
      <c r="B224" s="92">
        <v>1817000470</v>
      </c>
      <c r="C224" s="109" t="str">
        <f t="shared" si="60"/>
        <v>470</v>
      </c>
      <c r="D224" s="109" t="str">
        <f>MID(B224,2,6)</f>
        <v>817000</v>
      </c>
      <c r="E224" s="93" t="s">
        <v>536</v>
      </c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>
        <f>VLOOKUP(B:B,'[3]תשלומים 2017'!B:R,15,0)</f>
        <v>9000</v>
      </c>
      <c r="Q224" s="95">
        <f>VLOOKUP(B:B,'[3]דוח כספי 10.17 מעודכן'!A:D,4,0)</f>
        <v>127</v>
      </c>
      <c r="R224" s="95">
        <f>VLOOKUP(B:B,'[3]תשלומים 2017'!B:T,17,0)</f>
        <v>1000</v>
      </c>
      <c r="S224" s="95">
        <f>Q224/10*12</f>
        <v>152.39999999999998</v>
      </c>
      <c r="T224" s="95">
        <v>1000</v>
      </c>
      <c r="U224" s="110"/>
      <c r="V224" s="110"/>
      <c r="W224" s="97"/>
      <c r="X224" s="91"/>
      <c r="Y224" s="85"/>
      <c r="Z224" s="98"/>
      <c r="AA224" s="85"/>
      <c r="AB224" s="85"/>
      <c r="AC224" s="85"/>
      <c r="AD224" s="85"/>
      <c r="AE224" s="85"/>
      <c r="AF224" s="85"/>
      <c r="AG224" s="83">
        <f>P224-Q224</f>
        <v>8873</v>
      </c>
    </row>
    <row r="225" spans="1:35" ht="24.95" customHeight="1">
      <c r="A225" s="85">
        <v>19</v>
      </c>
      <c r="B225" s="92">
        <v>1817100750</v>
      </c>
      <c r="C225" s="109" t="str">
        <f t="shared" si="60"/>
        <v>750</v>
      </c>
      <c r="D225" s="109" t="str">
        <f>MID(B225,2,6)</f>
        <v>817100</v>
      </c>
      <c r="E225" s="93" t="s">
        <v>537</v>
      </c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>
        <f>VLOOKUP(B:B,'[3]תשלומים 2017'!B:R,15,0)</f>
        <v>1060000</v>
      </c>
      <c r="Q225" s="95">
        <f>VLOOKUP(B:B,'[3]דוח כספי 10.17 מעודכן'!A:D,4,0)</f>
        <v>547539.55000000005</v>
      </c>
      <c r="R225" s="95">
        <v>1060000</v>
      </c>
      <c r="S225" s="95">
        <f>Q225/10*12</f>
        <v>657047.46</v>
      </c>
      <c r="T225" s="103">
        <v>1060000</v>
      </c>
      <c r="U225" s="110"/>
      <c r="V225" s="110"/>
      <c r="W225" s="97"/>
      <c r="X225" s="91"/>
      <c r="Y225" s="85"/>
      <c r="Z225" s="98"/>
      <c r="AA225" s="85"/>
      <c r="AB225" s="85"/>
      <c r="AC225" s="85"/>
      <c r="AD225" s="85"/>
      <c r="AE225" s="85"/>
      <c r="AF225" s="85"/>
      <c r="AG225" s="83">
        <f>P225-Q225</f>
        <v>512460.44999999995</v>
      </c>
      <c r="AI225" t="s">
        <v>538</v>
      </c>
    </row>
    <row r="226" spans="1:35" s="1" customFormat="1" ht="24.95" customHeight="1">
      <c r="B226" s="28"/>
      <c r="C226" s="29"/>
      <c r="D226" s="29"/>
      <c r="E226" s="29" t="s">
        <v>539</v>
      </c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>
        <f t="shared" ref="P226:V226" si="62">SUM(P222:P225)</f>
        <v>2439000</v>
      </c>
      <c r="Q226" s="30">
        <f t="shared" si="62"/>
        <v>1829477.52</v>
      </c>
      <c r="R226" s="30">
        <f t="shared" si="62"/>
        <v>2770000</v>
      </c>
      <c r="S226" s="30">
        <f t="shared" si="62"/>
        <v>2366081.0199999996</v>
      </c>
      <c r="T226" s="30">
        <f>SUM(T222:T225)</f>
        <v>2981000</v>
      </c>
      <c r="U226" s="112">
        <f t="shared" si="62"/>
        <v>9.8800000000000008</v>
      </c>
      <c r="V226" s="112">
        <f t="shared" si="62"/>
        <v>16.66</v>
      </c>
      <c r="W226" s="22"/>
      <c r="X226" s="23"/>
      <c r="Y226" s="5"/>
      <c r="AG226" s="1">
        <f>P226-Q226</f>
        <v>609522.48</v>
      </c>
      <c r="AH226" s="1">
        <v>0</v>
      </c>
    </row>
    <row r="227" spans="1:35" ht="24.95" customHeight="1">
      <c r="A227" s="85">
        <v>20</v>
      </c>
      <c r="B227" s="92">
        <v>1817300110</v>
      </c>
      <c r="C227" s="109" t="str">
        <f t="shared" si="60"/>
        <v>110</v>
      </c>
      <c r="D227" s="109" t="str">
        <f>MID(B227,2,6)</f>
        <v>817300</v>
      </c>
      <c r="E227" s="93" t="s">
        <v>540</v>
      </c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>
        <f>VLOOKUP(B:B,'[3]תשלומים 2017'!B:R,15,0)</f>
        <v>730000</v>
      </c>
      <c r="Q227" s="95">
        <f>VLOOKUP(B:B,'[3]דוח כספי 10.17 מעודכן'!A:D,4,0)</f>
        <v>527083.56000000006</v>
      </c>
      <c r="R227" s="95">
        <f>VLOOKUP(B:B,'[3]תשלומים 2017'!B:T,17,0)</f>
        <v>703000</v>
      </c>
      <c r="S227" s="95">
        <f>Q227/9*12</f>
        <v>702778.08000000007</v>
      </c>
      <c r="T227" s="95">
        <v>749000</v>
      </c>
      <c r="U227" s="111">
        <v>3.95</v>
      </c>
      <c r="V227" s="111">
        <v>3.95</v>
      </c>
      <c r="W227" s="97"/>
      <c r="X227" s="91"/>
      <c r="Y227" s="85"/>
      <c r="Z227" s="98"/>
      <c r="AA227" s="85"/>
      <c r="AB227" s="85"/>
      <c r="AC227" s="85"/>
      <c r="AD227" s="85"/>
      <c r="AE227" s="85"/>
      <c r="AF227" s="85"/>
      <c r="AG227"/>
    </row>
    <row r="228" spans="1:35" ht="24.95" customHeight="1">
      <c r="A228" s="85">
        <v>19</v>
      </c>
      <c r="B228" s="92">
        <v>1817300410</v>
      </c>
      <c r="C228" s="109" t="str">
        <f t="shared" si="60"/>
        <v>410</v>
      </c>
      <c r="D228" s="109" t="str">
        <f>MID(B228,2,6)</f>
        <v>817300</v>
      </c>
      <c r="E228" s="93" t="s">
        <v>541</v>
      </c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>
        <f>VLOOKUP(B:B,'[3]תשלומים 2017'!B:R,15,0)</f>
        <v>24000</v>
      </c>
      <c r="Q228" s="95">
        <f>VLOOKUP(B:B,'[3]דוח כספי 10.17 מעודכן'!A:D,4,0)</f>
        <v>24000</v>
      </c>
      <c r="R228" s="95">
        <f>VLOOKUP(B:B,'[3]תשלומים 2017'!B:T,17,0)</f>
        <v>24000</v>
      </c>
      <c r="S228" s="95">
        <f>Q228/10*12</f>
        <v>28800</v>
      </c>
      <c r="T228" s="95">
        <v>29000</v>
      </c>
      <c r="U228" s="110"/>
      <c r="V228" s="110"/>
      <c r="W228" s="97"/>
      <c r="X228" s="91"/>
      <c r="Y228" s="85"/>
      <c r="Z228" s="98"/>
      <c r="AA228" s="85"/>
      <c r="AB228" s="85"/>
      <c r="AC228" s="85"/>
      <c r="AD228" s="85"/>
      <c r="AE228" s="85"/>
      <c r="AF228" s="85"/>
      <c r="AG228" s="83">
        <f>P228-Q228</f>
        <v>0</v>
      </c>
    </row>
    <row r="229" spans="1:35" ht="24.95" customHeight="1">
      <c r="A229" s="85">
        <v>19</v>
      </c>
      <c r="B229" s="92">
        <v>1817300540</v>
      </c>
      <c r="C229" s="109" t="str">
        <f t="shared" si="60"/>
        <v>540</v>
      </c>
      <c r="D229" s="109" t="str">
        <f>MID(B229,2,6)</f>
        <v>817300</v>
      </c>
      <c r="E229" s="93" t="s">
        <v>542</v>
      </c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>
        <f>VLOOKUP(B:B,'[3]תשלומים 2017'!B:R,15,0)</f>
        <v>0</v>
      </c>
      <c r="Q229" s="95">
        <f>VLOOKUP(B:B,'[3]דוח כספי 10.17 מעודכן'!A:D,4,0)</f>
        <v>7472.62</v>
      </c>
      <c r="R229" s="95">
        <f>VLOOKUP(B:B,'[3]תשלומים 2017'!B:T,17,0)</f>
        <v>9000</v>
      </c>
      <c r="S229" s="95">
        <f>Q229/10*12</f>
        <v>8967.1440000000002</v>
      </c>
      <c r="T229" s="95">
        <v>10000</v>
      </c>
      <c r="U229" s="110"/>
      <c r="V229" s="110"/>
      <c r="W229" s="97"/>
      <c r="X229" s="91"/>
      <c r="Y229" s="85"/>
      <c r="Z229" s="98"/>
      <c r="AA229" s="85"/>
      <c r="AB229" s="85"/>
      <c r="AC229" s="85"/>
      <c r="AD229" s="85"/>
      <c r="AE229" s="85"/>
      <c r="AF229" s="85"/>
      <c r="AG229" s="83">
        <f>P229-Q229</f>
        <v>-7472.62</v>
      </c>
    </row>
    <row r="230" spans="1:35" ht="24.95" customHeight="1">
      <c r="A230" s="85">
        <v>19</v>
      </c>
      <c r="B230" s="92">
        <v>1817300750</v>
      </c>
      <c r="C230" s="109" t="str">
        <f t="shared" si="60"/>
        <v>750</v>
      </c>
      <c r="D230" s="109" t="str">
        <f>MID(B230,2,6)</f>
        <v>817300</v>
      </c>
      <c r="E230" s="93" t="s">
        <v>543</v>
      </c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>
        <f>VLOOKUP(B:B,'[3]תשלומים 2017'!B:R,15,0)</f>
        <v>0</v>
      </c>
      <c r="Q230" s="95">
        <f>VLOOKUP(B:B,'[3]דוח כספי 10.17 מעודכן'!A:D,4,0)</f>
        <v>0</v>
      </c>
      <c r="R230" s="95">
        <f>VLOOKUP(B:B,'[3]תשלומים 2017'!B:T,17,0)</f>
        <v>0</v>
      </c>
      <c r="S230" s="95">
        <f>Q230/10*12</f>
        <v>0</v>
      </c>
      <c r="T230" s="95">
        <v>0</v>
      </c>
      <c r="U230" s="110"/>
      <c r="V230" s="110"/>
      <c r="W230" s="97"/>
      <c r="X230" s="91"/>
      <c r="Y230" s="85"/>
      <c r="Z230" s="98"/>
      <c r="AA230" s="85"/>
      <c r="AB230" s="85"/>
      <c r="AC230" s="85"/>
      <c r="AD230" s="85"/>
      <c r="AE230" s="85"/>
      <c r="AF230" s="85"/>
      <c r="AG230" s="83">
        <f>P230-Q230</f>
        <v>0</v>
      </c>
    </row>
    <row r="231" spans="1:35" ht="24.95" customHeight="1">
      <c r="A231" s="85">
        <v>19</v>
      </c>
      <c r="B231" s="92">
        <v>1817300810</v>
      </c>
      <c r="C231" s="109" t="str">
        <f t="shared" si="60"/>
        <v>810</v>
      </c>
      <c r="D231" s="109" t="str">
        <f>MID(B231,2,6)</f>
        <v>817300</v>
      </c>
      <c r="E231" s="93" t="s">
        <v>544</v>
      </c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>
        <f>VLOOKUP(B:B,'[3]תשלומים 2017'!B:R,15,0)</f>
        <v>71000</v>
      </c>
      <c r="Q231" s="95">
        <f>VLOOKUP(B:B,'[3]דוח כספי 10.17 מעודכן'!A:D,4,0)</f>
        <v>16800</v>
      </c>
      <c r="R231" s="95">
        <f>VLOOKUP(B:B,'[3]תשלומים 2017'!B:T,17,0)</f>
        <v>33000</v>
      </c>
      <c r="S231" s="95">
        <f>Q231/10*12</f>
        <v>20160</v>
      </c>
      <c r="T231" s="95">
        <v>21000</v>
      </c>
      <c r="U231" s="110"/>
      <c r="V231" s="110"/>
      <c r="W231" s="97"/>
      <c r="X231" s="91"/>
      <c r="Y231" s="85"/>
      <c r="Z231" s="98"/>
      <c r="AA231" s="85"/>
      <c r="AB231" s="85"/>
      <c r="AC231" s="85"/>
      <c r="AD231" s="85"/>
      <c r="AE231" s="85"/>
      <c r="AF231" s="85"/>
      <c r="AG231" s="83">
        <f>P231-Q231</f>
        <v>54200</v>
      </c>
    </row>
    <row r="232" spans="1:35" s="1" customFormat="1" ht="24.95" customHeight="1">
      <c r="B232" s="28"/>
      <c r="C232" s="29"/>
      <c r="D232" s="29"/>
      <c r="E232" s="29" t="s">
        <v>133</v>
      </c>
      <c r="F232" s="30" t="e">
        <f>SUM(#REF!)</f>
        <v>#REF!</v>
      </c>
      <c r="G232" s="30" t="e">
        <f>SUM(#REF!)</f>
        <v>#REF!</v>
      </c>
      <c r="H232" s="30" t="e">
        <f>SUM(#REF!)</f>
        <v>#REF!</v>
      </c>
      <c r="I232" s="30" t="e">
        <f>SUM(#REF!)</f>
        <v>#REF!</v>
      </c>
      <c r="J232" s="30" t="e">
        <f>SUM(#REF!)</f>
        <v>#REF!</v>
      </c>
      <c r="K232" s="30" t="e">
        <f>SUM(#REF!)</f>
        <v>#REF!</v>
      </c>
      <c r="L232" s="30" t="e">
        <f>SUM(#REF!)</f>
        <v>#REF!</v>
      </c>
      <c r="M232" s="30" t="e">
        <f>SUM(#REF!)</f>
        <v>#REF!</v>
      </c>
      <c r="N232" s="30" t="e">
        <f>SUM(#REF!)</f>
        <v>#REF!</v>
      </c>
      <c r="O232" s="30" t="e">
        <f>SUM(#REF!)</f>
        <v>#REF!</v>
      </c>
      <c r="P232" s="30">
        <f t="shared" ref="P232:S232" si="63">SUM(P227:P231)</f>
        <v>825000</v>
      </c>
      <c r="Q232" s="30">
        <f t="shared" si="63"/>
        <v>575356.18000000005</v>
      </c>
      <c r="R232" s="30">
        <f t="shared" si="63"/>
        <v>769000</v>
      </c>
      <c r="S232" s="30">
        <f t="shared" si="63"/>
        <v>760705.22400000005</v>
      </c>
      <c r="T232" s="30">
        <f>SUM(T227:T231)</f>
        <v>809000</v>
      </c>
      <c r="U232" s="112">
        <f t="shared" ref="U232:V232" si="64">SUM(U227:U231)</f>
        <v>3.95</v>
      </c>
      <c r="V232" s="112">
        <f t="shared" si="64"/>
        <v>3.95</v>
      </c>
      <c r="W232" s="22"/>
      <c r="X232" s="23"/>
      <c r="Y232" s="5">
        <f>IF(ISBLANK(B232),1,--OR(L232&gt;1,M232&gt;1,N232&gt;1))</f>
        <v>1</v>
      </c>
      <c r="Z232" s="1">
        <v>0</v>
      </c>
      <c r="AG232" s="1">
        <f>P232-Q232</f>
        <v>249643.81999999995</v>
      </c>
      <c r="AH232" s="1">
        <v>0</v>
      </c>
    </row>
    <row r="233" spans="1:35" ht="24.95" customHeight="1">
      <c r="A233" s="85">
        <v>20</v>
      </c>
      <c r="B233" s="92">
        <v>1817700110</v>
      </c>
      <c r="C233" s="109" t="str">
        <f t="shared" si="60"/>
        <v>110</v>
      </c>
      <c r="D233" s="109" t="str">
        <f t="shared" ref="D233:D246" si="65">MID(B233,2,6)</f>
        <v>817700</v>
      </c>
      <c r="E233" s="93" t="s">
        <v>545</v>
      </c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>
        <f>VLOOKUP(B:B,'[3]תשלומים 2017'!B:R,15,0)</f>
        <v>299000</v>
      </c>
      <c r="Q233" s="95">
        <f>VLOOKUP(B:B,'[3]דוח כספי 10.17 מעודכן'!A:D,4,0)</f>
        <v>167643.94</v>
      </c>
      <c r="R233" s="95">
        <f>VLOOKUP(B:B,'[3]תשלומים 2017'!B:T,17,0)</f>
        <v>212000</v>
      </c>
      <c r="S233" s="95">
        <f>Q233/9*12</f>
        <v>223525.25333333336</v>
      </c>
      <c r="T233" s="95">
        <v>188000</v>
      </c>
      <c r="U233" s="96">
        <v>1.98</v>
      </c>
      <c r="V233" s="96">
        <v>1.98</v>
      </c>
      <c r="W233" s="97"/>
      <c r="X233" s="91"/>
      <c r="Y233" s="85"/>
      <c r="Z233" s="98"/>
      <c r="AA233" s="85"/>
      <c r="AB233" s="85"/>
      <c r="AC233" s="85"/>
      <c r="AD233" s="85"/>
      <c r="AE233" s="85"/>
      <c r="AF233" s="85"/>
      <c r="AG233"/>
      <c r="AH233">
        <v>0</v>
      </c>
    </row>
    <row r="234" spans="1:35" ht="24.95" customHeight="1">
      <c r="A234" s="85">
        <v>19</v>
      </c>
      <c r="B234" s="92">
        <v>1817700810</v>
      </c>
      <c r="C234" s="109" t="str">
        <f t="shared" si="60"/>
        <v>810</v>
      </c>
      <c r="D234" s="109" t="str">
        <f t="shared" si="65"/>
        <v>817700</v>
      </c>
      <c r="E234" s="93" t="s">
        <v>546</v>
      </c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>
        <f>VLOOKUP(B:B,'[3]תשלומים 2017'!B:R,15,0)</f>
        <v>32000</v>
      </c>
      <c r="Q234" s="95">
        <f>VLOOKUP(B:B,'[3]דוח כספי 10.17 מעודכן'!A:D,4,0)</f>
        <v>24800</v>
      </c>
      <c r="R234" s="95">
        <f>VLOOKUP(B:B,'[3]תשלומים 2017'!B:T,17,0)</f>
        <v>30000</v>
      </c>
      <c r="S234" s="95">
        <f t="shared" ref="S234:S245" si="66">Q234/10*12</f>
        <v>29760</v>
      </c>
      <c r="T234" s="95">
        <v>30000</v>
      </c>
      <c r="U234" s="110"/>
      <c r="V234" s="110"/>
      <c r="W234" s="97"/>
      <c r="X234" s="91"/>
      <c r="Y234" s="85"/>
      <c r="Z234" s="98"/>
      <c r="AA234" s="85"/>
      <c r="AB234" s="85"/>
      <c r="AC234" s="85"/>
      <c r="AD234" s="85"/>
      <c r="AE234" s="85"/>
      <c r="AF234" s="85"/>
      <c r="AG234" s="83">
        <f t="shared" ref="AG234:AG245" si="67">P234-Q234</f>
        <v>7200</v>
      </c>
    </row>
    <row r="235" spans="1:35" ht="24.95" customHeight="1">
      <c r="A235" s="85">
        <v>19</v>
      </c>
      <c r="B235" s="92">
        <v>1817710750</v>
      </c>
      <c r="C235" s="109" t="str">
        <f t="shared" si="60"/>
        <v>750</v>
      </c>
      <c r="D235" s="109" t="str">
        <f t="shared" si="65"/>
        <v>817710</v>
      </c>
      <c r="E235" s="93" t="s">
        <v>547</v>
      </c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>
        <f>VLOOKUP(B:B,'[3]תשלומים 2017'!B:R,15,0)</f>
        <v>0</v>
      </c>
      <c r="Q235" s="95">
        <f>VLOOKUP(B:B,'[3]דוח כספי 10.17 מעודכן'!A:D,4,0)</f>
        <v>8951</v>
      </c>
      <c r="R235" s="95">
        <f>VLOOKUP(B:B,'[3]תשלומים 2017'!B:T,17,0)</f>
        <v>11000</v>
      </c>
      <c r="S235" s="95">
        <f t="shared" si="66"/>
        <v>10741.2</v>
      </c>
      <c r="T235" s="95">
        <v>11000</v>
      </c>
      <c r="U235" s="110"/>
      <c r="V235" s="110"/>
      <c r="W235" s="97"/>
      <c r="X235" s="91"/>
      <c r="Y235" s="85"/>
      <c r="Z235" s="98"/>
      <c r="AA235" s="85"/>
      <c r="AB235" s="85"/>
      <c r="AC235" s="85"/>
      <c r="AD235" s="85"/>
      <c r="AE235" s="85"/>
      <c r="AF235" s="85"/>
      <c r="AG235" s="83">
        <f t="shared" si="67"/>
        <v>-8951</v>
      </c>
    </row>
    <row r="236" spans="1:35" ht="24.95" customHeight="1">
      <c r="A236" s="85">
        <v>19</v>
      </c>
      <c r="B236" s="92">
        <v>1817720920</v>
      </c>
      <c r="C236" s="109" t="str">
        <f t="shared" si="60"/>
        <v>920</v>
      </c>
      <c r="D236" s="109" t="str">
        <f t="shared" si="65"/>
        <v>817720</v>
      </c>
      <c r="E236" s="93" t="s">
        <v>548</v>
      </c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>
        <f>VLOOKUP(B:B,'[3]תשלומים 2017'!B:R,15,0)</f>
        <v>0</v>
      </c>
      <c r="Q236" s="95">
        <f>VLOOKUP(B:B,'[3]דוח כספי 10.17 מעודכן'!A:D,4,0)</f>
        <v>0</v>
      </c>
      <c r="R236" s="95">
        <f>VLOOKUP(B:B,'[3]תשלומים 2017'!B:T,17,0)</f>
        <v>0</v>
      </c>
      <c r="S236" s="95">
        <f t="shared" si="66"/>
        <v>0</v>
      </c>
      <c r="T236" s="95">
        <v>0</v>
      </c>
      <c r="U236" s="110"/>
      <c r="V236" s="110"/>
      <c r="W236" s="97"/>
      <c r="X236" s="91"/>
      <c r="Y236" s="85"/>
      <c r="Z236" s="98"/>
      <c r="AA236" s="85"/>
      <c r="AB236" s="85"/>
      <c r="AC236" s="85"/>
      <c r="AD236" s="85"/>
      <c r="AE236" s="85"/>
      <c r="AF236" s="85"/>
      <c r="AG236" s="83">
        <f t="shared" si="67"/>
        <v>0</v>
      </c>
    </row>
    <row r="237" spans="1:35" ht="24.95" customHeight="1">
      <c r="A237" s="85">
        <v>19</v>
      </c>
      <c r="B237" s="92">
        <v>1817800710</v>
      </c>
      <c r="C237" s="109" t="str">
        <f t="shared" si="60"/>
        <v>710</v>
      </c>
      <c r="D237" s="109" t="str">
        <f t="shared" si="65"/>
        <v>817800</v>
      </c>
      <c r="E237" s="93" t="s">
        <v>549</v>
      </c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>
        <f>VLOOKUP(B:B,'[3]תשלומים 2017'!B:R,15,0)</f>
        <v>1594000</v>
      </c>
      <c r="Q237" s="103">
        <f>VLOOKUP(B:B,'[3]דוח כספי 10.17 מעודכן'!A:D,4,0)</f>
        <v>1397367.78</v>
      </c>
      <c r="R237" s="103">
        <f>VLOOKUP(B:B,'[3]תשלומים 2017'!B:T,17,0)</f>
        <v>1510000</v>
      </c>
      <c r="S237" s="103">
        <f t="shared" si="66"/>
        <v>1676841.3359999999</v>
      </c>
      <c r="T237" s="103">
        <v>1510000</v>
      </c>
      <c r="U237" s="110"/>
      <c r="V237" s="110"/>
      <c r="W237" s="97"/>
      <c r="X237" s="91"/>
      <c r="Y237" s="85"/>
      <c r="Z237" s="98"/>
      <c r="AA237" s="85"/>
      <c r="AB237" s="85"/>
      <c r="AC237" s="85"/>
      <c r="AD237" s="85"/>
      <c r="AE237" s="85"/>
      <c r="AF237" s="85"/>
      <c r="AG237" s="83">
        <f t="shared" si="67"/>
        <v>196632.21999999997</v>
      </c>
    </row>
    <row r="238" spans="1:35" ht="24.95" customHeight="1">
      <c r="A238" s="85">
        <v>19</v>
      </c>
      <c r="B238" s="92">
        <v>1817800711</v>
      </c>
      <c r="C238" s="109" t="str">
        <f t="shared" si="60"/>
        <v>711</v>
      </c>
      <c r="D238" s="109" t="str">
        <f t="shared" si="65"/>
        <v>817800</v>
      </c>
      <c r="E238" s="93" t="s">
        <v>145</v>
      </c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>
        <f>VLOOKUP(B:B,'[3]תשלומים 2017'!B:R,15,0)</f>
        <v>208000</v>
      </c>
      <c r="Q238" s="103">
        <f>VLOOKUP(B:B,'[3]דוח כספי 10.17 מעודכן'!A:D,4,0)</f>
        <v>0</v>
      </c>
      <c r="R238" s="103">
        <f>VLOOKUP(B:B,'[3]תשלומים 2017'!B:T,17,0)</f>
        <v>0</v>
      </c>
      <c r="S238" s="103">
        <f t="shared" si="66"/>
        <v>0</v>
      </c>
      <c r="T238" s="103">
        <v>0</v>
      </c>
      <c r="U238" s="110"/>
      <c r="V238" s="110"/>
      <c r="W238" s="97"/>
      <c r="X238" s="91"/>
      <c r="Y238" s="85"/>
      <c r="Z238" s="98"/>
      <c r="AA238" s="85"/>
      <c r="AB238" s="85"/>
      <c r="AC238" s="85"/>
      <c r="AD238" s="85"/>
      <c r="AE238" s="85"/>
      <c r="AF238" s="85"/>
      <c r="AG238" s="83">
        <f t="shared" si="67"/>
        <v>208000</v>
      </c>
      <c r="AI238" t="s">
        <v>550</v>
      </c>
    </row>
    <row r="239" spans="1:35" ht="24.95" customHeight="1">
      <c r="A239" s="85">
        <v>19</v>
      </c>
      <c r="B239" s="92">
        <v>1817800810</v>
      </c>
      <c r="C239" s="109" t="str">
        <f t="shared" si="60"/>
        <v>810</v>
      </c>
      <c r="D239" s="109" t="str">
        <f t="shared" si="65"/>
        <v>817800</v>
      </c>
      <c r="E239" s="93" t="s">
        <v>145</v>
      </c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>
        <f>VLOOKUP(B:B,'[3]תשלומים 2017'!B:R,15,0)</f>
        <v>0</v>
      </c>
      <c r="Q239" s="95">
        <f>VLOOKUP(B:B,'[3]דוח כספי 10.17 מעודכן'!A:D,4,0)</f>
        <v>0</v>
      </c>
      <c r="R239" s="95">
        <f>VLOOKUP(B:B,'[3]תשלומים 2017'!B:T,17,0)</f>
        <v>0</v>
      </c>
      <c r="S239" s="95">
        <f t="shared" si="66"/>
        <v>0</v>
      </c>
      <c r="T239" s="95">
        <v>0</v>
      </c>
      <c r="U239" s="110"/>
      <c r="V239" s="110"/>
      <c r="W239" s="97"/>
      <c r="X239" s="91"/>
      <c r="Y239" s="85"/>
      <c r="Z239" s="98"/>
      <c r="AA239" s="85"/>
      <c r="AB239" s="85"/>
      <c r="AC239" s="85"/>
      <c r="AD239" s="85"/>
      <c r="AE239" s="85"/>
      <c r="AF239" s="85"/>
      <c r="AG239" s="83">
        <f t="shared" si="67"/>
        <v>0</v>
      </c>
    </row>
    <row r="240" spans="1:35" ht="24.95" customHeight="1">
      <c r="A240" s="85">
        <v>19</v>
      </c>
      <c r="B240" s="92">
        <v>1817830710</v>
      </c>
      <c r="C240" s="109" t="str">
        <f t="shared" si="60"/>
        <v>710</v>
      </c>
      <c r="D240" s="109" t="str">
        <f t="shared" si="65"/>
        <v>817830</v>
      </c>
      <c r="E240" s="93" t="s">
        <v>145</v>
      </c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>
        <f>VLOOKUP(B:B,'[3]תשלומים 2017'!B:R,15,0)</f>
        <v>0</v>
      </c>
      <c r="Q240" s="95">
        <f>VLOOKUP(B:B,'[3]דוח כספי 10.17 מעודכן'!A:D,4,0)</f>
        <v>0</v>
      </c>
      <c r="R240" s="95">
        <f>VLOOKUP(B:B,'[3]תשלומים 2017'!B:T,17,0)</f>
        <v>0</v>
      </c>
      <c r="S240" s="95">
        <f t="shared" si="66"/>
        <v>0</v>
      </c>
      <c r="T240" s="95">
        <v>0</v>
      </c>
      <c r="U240" s="110"/>
      <c r="V240" s="110"/>
      <c r="W240" s="97"/>
      <c r="X240" s="91"/>
      <c r="Y240" s="85"/>
      <c r="Z240" s="98"/>
      <c r="AA240" s="85"/>
      <c r="AB240" s="85"/>
      <c r="AC240" s="85"/>
      <c r="AD240" s="85"/>
      <c r="AE240" s="85"/>
      <c r="AF240" s="85"/>
      <c r="AG240" s="83">
        <f t="shared" si="67"/>
        <v>0</v>
      </c>
    </row>
    <row r="241" spans="1:35" ht="24.95" customHeight="1">
      <c r="A241" s="85">
        <v>19</v>
      </c>
      <c r="B241" s="92">
        <v>1817840710</v>
      </c>
      <c r="C241" s="109" t="str">
        <f t="shared" si="60"/>
        <v>710</v>
      </c>
      <c r="D241" s="109" t="str">
        <f t="shared" si="65"/>
        <v>817840</v>
      </c>
      <c r="E241" s="93" t="s">
        <v>551</v>
      </c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>
        <f>VLOOKUP(B:B,'[3]תשלומים 2017'!B:R,15,0)</f>
        <v>0</v>
      </c>
      <c r="Q241" s="95">
        <f>VLOOKUP(B:B,'[3]דוח כספי 10.17 מעודכן'!A:D,4,0)</f>
        <v>0</v>
      </c>
      <c r="R241" s="95">
        <f>VLOOKUP(B:B,'[3]תשלומים 2017'!B:T,17,0)</f>
        <v>0</v>
      </c>
      <c r="S241" s="95">
        <f t="shared" si="66"/>
        <v>0</v>
      </c>
      <c r="T241" s="95">
        <v>0</v>
      </c>
      <c r="U241" s="110"/>
      <c r="V241" s="110"/>
      <c r="W241" s="97"/>
      <c r="X241" s="91"/>
      <c r="Y241" s="85"/>
      <c r="Z241" s="98"/>
      <c r="AA241" s="85"/>
      <c r="AB241" s="85"/>
      <c r="AC241" s="85"/>
      <c r="AD241" s="85"/>
      <c r="AE241" s="85"/>
      <c r="AF241" s="85"/>
      <c r="AG241" s="83">
        <f t="shared" si="67"/>
        <v>0</v>
      </c>
    </row>
    <row r="242" spans="1:35" ht="24.95" customHeight="1">
      <c r="A242" s="85">
        <v>19</v>
      </c>
      <c r="B242" s="92">
        <v>1817880810</v>
      </c>
      <c r="C242" s="109" t="str">
        <f t="shared" si="60"/>
        <v>810</v>
      </c>
      <c r="D242" s="109" t="str">
        <f t="shared" si="65"/>
        <v>817880</v>
      </c>
      <c r="E242" s="93" t="s">
        <v>552</v>
      </c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>
        <f>VLOOKUP(B:B,'[3]תשלומים 2017'!B:R,15,0)</f>
        <v>0</v>
      </c>
      <c r="Q242" s="95">
        <f>VLOOKUP(B:B,'[3]דוח כספי 10.17 מעודכן'!A:D,4,0)</f>
        <v>0</v>
      </c>
      <c r="R242" s="95">
        <f>VLOOKUP(B:B,'[3]תשלומים 2017'!B:T,17,0)</f>
        <v>0</v>
      </c>
      <c r="S242" s="95">
        <f t="shared" si="66"/>
        <v>0</v>
      </c>
      <c r="T242" s="95">
        <v>0</v>
      </c>
      <c r="U242" s="110"/>
      <c r="V242" s="110"/>
      <c r="W242" s="97"/>
      <c r="X242" s="91"/>
      <c r="Y242" s="85"/>
      <c r="Z242" s="98"/>
      <c r="AA242" s="85"/>
      <c r="AB242" s="85"/>
      <c r="AC242" s="85"/>
      <c r="AD242" s="85"/>
      <c r="AE242" s="85"/>
      <c r="AF242" s="85"/>
      <c r="AG242" s="83">
        <f t="shared" si="67"/>
        <v>0</v>
      </c>
    </row>
    <row r="243" spans="1:35" ht="24.95" customHeight="1">
      <c r="A243" s="85">
        <v>19</v>
      </c>
      <c r="B243" s="92">
        <v>1817900750</v>
      </c>
      <c r="C243" s="109" t="str">
        <f t="shared" si="60"/>
        <v>750</v>
      </c>
      <c r="D243" s="109" t="str">
        <f t="shared" si="65"/>
        <v>817900</v>
      </c>
      <c r="E243" s="93" t="s">
        <v>553</v>
      </c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>
        <f>VLOOKUP(B:B,'[3]תשלומים 2017'!B:R,15,0)</f>
        <v>606500</v>
      </c>
      <c r="Q243" s="95">
        <f>VLOOKUP(B:B,'[3]דוח כספי 10.17 מעודכן'!A:D,4,0)</f>
        <v>1771153.62</v>
      </c>
      <c r="R243" s="95">
        <f>VLOOKUP(B:B,'[3]תשלומים 2017'!B:T,17,0)</f>
        <v>2362000</v>
      </c>
      <c r="S243" s="95">
        <f t="shared" si="66"/>
        <v>2125384.3440000005</v>
      </c>
      <c r="T243" s="103">
        <v>2362000</v>
      </c>
      <c r="U243" s="110"/>
      <c r="V243" s="110"/>
      <c r="W243" s="97"/>
      <c r="X243" s="91"/>
      <c r="Y243" s="85"/>
      <c r="Z243" s="98"/>
      <c r="AA243" s="85"/>
      <c r="AB243" s="85"/>
      <c r="AC243" s="85"/>
      <c r="AD243" s="85"/>
      <c r="AE243" s="85"/>
      <c r="AF243" s="85"/>
      <c r="AG243" s="83">
        <f t="shared" si="67"/>
        <v>-1164653.6200000001</v>
      </c>
    </row>
    <row r="244" spans="1:35" ht="24.95" customHeight="1">
      <c r="A244" s="85">
        <v>19</v>
      </c>
      <c r="B244" s="92">
        <v>1817900810</v>
      </c>
      <c r="C244" s="109" t="str">
        <f t="shared" si="60"/>
        <v>810</v>
      </c>
      <c r="D244" s="109" t="str">
        <f t="shared" si="65"/>
        <v>817900</v>
      </c>
      <c r="E244" s="93" t="s">
        <v>553</v>
      </c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>
        <f>VLOOKUP(B:B,'[3]תשלומים 2017'!B:R,15,0)</f>
        <v>606500</v>
      </c>
      <c r="Q244" s="95">
        <f>VLOOKUP(B:B,'[3]דוח כספי 10.17 מעודכן'!A:D,4,0)</f>
        <v>195882</v>
      </c>
      <c r="R244" s="95">
        <f>VLOOKUP(B:B,'[3]תשלומים 2017'!B:T,17,0)</f>
        <v>0</v>
      </c>
      <c r="S244" s="95">
        <f t="shared" si="66"/>
        <v>235058.40000000002</v>
      </c>
      <c r="T244" s="95">
        <v>0</v>
      </c>
      <c r="U244" s="110"/>
      <c r="V244" s="110"/>
      <c r="W244" s="97"/>
      <c r="X244" s="91"/>
      <c r="Y244" s="85"/>
      <c r="Z244" s="98"/>
      <c r="AA244" s="85"/>
      <c r="AB244" s="85"/>
      <c r="AC244" s="85"/>
      <c r="AD244" s="85"/>
      <c r="AE244" s="85"/>
      <c r="AF244" s="85"/>
      <c r="AG244" s="83">
        <f t="shared" si="67"/>
        <v>410618</v>
      </c>
    </row>
    <row r="245" spans="1:35" ht="24.95" customHeight="1">
      <c r="A245" s="85">
        <v>19</v>
      </c>
      <c r="B245" s="92">
        <v>1817900850</v>
      </c>
      <c r="C245" s="109" t="str">
        <f t="shared" si="60"/>
        <v>850</v>
      </c>
      <c r="D245" s="109" t="str">
        <f t="shared" si="65"/>
        <v>817900</v>
      </c>
      <c r="E245" s="93" t="s">
        <v>554</v>
      </c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>
        <f>VLOOKUP(B:B,'[3]תשלומים 2017'!B:R,15,0)</f>
        <v>0</v>
      </c>
      <c r="Q245" s="95">
        <f>VLOOKUP(B:B,'[3]דוח כספי 10.17 מעודכן'!A:D,4,0)</f>
        <v>0</v>
      </c>
      <c r="R245" s="95">
        <f>VLOOKUP(B:B,'[3]תשלומים 2017'!B:T,17,0)</f>
        <v>0</v>
      </c>
      <c r="S245" s="95">
        <f t="shared" si="66"/>
        <v>0</v>
      </c>
      <c r="T245" s="95">
        <v>0</v>
      </c>
      <c r="U245" s="110"/>
      <c r="V245" s="110"/>
      <c r="W245" s="97"/>
      <c r="X245" s="91"/>
      <c r="Y245" s="85"/>
      <c r="Z245" s="98"/>
      <c r="AA245" s="85"/>
      <c r="AB245" s="85"/>
      <c r="AC245" s="85"/>
      <c r="AD245" s="85"/>
      <c r="AE245" s="85"/>
      <c r="AF245" s="85"/>
      <c r="AG245" s="83">
        <f t="shared" si="67"/>
        <v>0</v>
      </c>
    </row>
    <row r="246" spans="1:35" ht="24.95" customHeight="1">
      <c r="A246" s="85">
        <v>20</v>
      </c>
      <c r="B246" s="92">
        <v>1818000110</v>
      </c>
      <c r="C246" s="109" t="str">
        <f t="shared" si="60"/>
        <v>110</v>
      </c>
      <c r="D246" s="109" t="str">
        <f t="shared" si="65"/>
        <v>818000</v>
      </c>
      <c r="E246" s="93" t="s">
        <v>413</v>
      </c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>
        <f>VLOOKUP(B:B,'[3]תשלומים 2017'!B:R,15,0)</f>
        <v>0</v>
      </c>
      <c r="Q246" s="95">
        <f>VLOOKUP(B:B,'[3]דוח כספי 10.17 מעודכן'!A:D,4,0)</f>
        <v>0</v>
      </c>
      <c r="R246" s="95">
        <f>VLOOKUP(B:B,'[3]תשלומים 2017'!B:T,17,0)</f>
        <v>0</v>
      </c>
      <c r="S246" s="95">
        <f>Q246/9*12</f>
        <v>0</v>
      </c>
      <c r="T246" s="95">
        <v>0</v>
      </c>
      <c r="U246" s="96"/>
      <c r="V246" s="96"/>
      <c r="W246" s="97"/>
      <c r="X246" s="91"/>
      <c r="Y246" s="85"/>
      <c r="Z246" s="98"/>
      <c r="AA246" s="85"/>
      <c r="AB246" s="85"/>
      <c r="AC246" s="85"/>
      <c r="AD246" s="85"/>
      <c r="AE246" s="85"/>
      <c r="AF246" s="85"/>
      <c r="AG246"/>
      <c r="AH246">
        <v>0</v>
      </c>
    </row>
    <row r="247" spans="1:35" s="1" customFormat="1" ht="24.95" customHeight="1">
      <c r="B247" s="28"/>
      <c r="C247" s="29"/>
      <c r="D247" s="29"/>
      <c r="E247" s="29" t="s">
        <v>555</v>
      </c>
      <c r="F247" s="30" t="e">
        <f>SUM(#REF!)</f>
        <v>#REF!</v>
      </c>
      <c r="G247" s="30" t="e">
        <f>SUM(#REF!)</f>
        <v>#REF!</v>
      </c>
      <c r="H247" s="30" t="e">
        <f>SUM(#REF!)</f>
        <v>#REF!</v>
      </c>
      <c r="I247" s="30" t="e">
        <f>SUM(#REF!)</f>
        <v>#REF!</v>
      </c>
      <c r="J247" s="30" t="e">
        <f>SUM(#REF!)</f>
        <v>#REF!</v>
      </c>
      <c r="K247" s="30" t="e">
        <f>SUM(#REF!)</f>
        <v>#REF!</v>
      </c>
      <c r="L247" s="30" t="e">
        <f>SUM(#REF!)</f>
        <v>#REF!</v>
      </c>
      <c r="M247" s="30" t="e">
        <f>SUM(#REF!)</f>
        <v>#REF!</v>
      </c>
      <c r="N247" s="30" t="e">
        <f>SUM(#REF!)</f>
        <v>#REF!</v>
      </c>
      <c r="O247" s="30" t="e">
        <f>SUM(#REF!)</f>
        <v>#REF!</v>
      </c>
      <c r="P247" s="30">
        <f t="shared" ref="P247:S247" si="68">SUM(P233:P246)</f>
        <v>3346000</v>
      </c>
      <c r="Q247" s="30">
        <f t="shared" si="68"/>
        <v>3565798.34</v>
      </c>
      <c r="R247" s="30">
        <f t="shared" si="68"/>
        <v>4125000</v>
      </c>
      <c r="S247" s="30">
        <f t="shared" si="68"/>
        <v>4301310.5333333341</v>
      </c>
      <c r="T247" s="30">
        <f>SUM(T233:T246)</f>
        <v>4101000</v>
      </c>
      <c r="U247" s="112">
        <f t="shared" ref="U247:V247" si="69">SUM(U233:U246)</f>
        <v>1.98</v>
      </c>
      <c r="V247" s="112">
        <f t="shared" si="69"/>
        <v>1.98</v>
      </c>
      <c r="W247" s="22"/>
      <c r="X247" s="23"/>
      <c r="Y247" s="5">
        <f>IF(ISBLANK(B247),1,--OR(L247&gt;1,M247&gt;1,N247&gt;1))</f>
        <v>1</v>
      </c>
      <c r="Z247" s="1">
        <v>0</v>
      </c>
      <c r="AG247" s="1">
        <f t="shared" ref="AG247:AG255" si="70">P247-Q247</f>
        <v>-219798.33999999985</v>
      </c>
      <c r="AH247" s="1">
        <v>0</v>
      </c>
    </row>
    <row r="248" spans="1:35" s="1" customFormat="1" ht="24.95" customHeight="1">
      <c r="B248" s="32"/>
      <c r="C248" s="33"/>
      <c r="D248" s="33"/>
      <c r="E248" s="33" t="s">
        <v>235</v>
      </c>
      <c r="F248" s="34" t="e">
        <f>F247+#REF!+F232+F221+#REF!+#REF!+#REF!+F172+F150+F135</f>
        <v>#REF!</v>
      </c>
      <c r="G248" s="34" t="e">
        <f>G247+#REF!+G232+#REF!+G221+#REF!+#REF!+#REF!+G172+G150+G135</f>
        <v>#REF!</v>
      </c>
      <c r="H248" s="34" t="e">
        <f>H247+#REF!+H232+#REF!+H221+#REF!+#REF!+#REF!+H172+H150+H135</f>
        <v>#REF!</v>
      </c>
      <c r="I248" s="34" t="e">
        <f>I247+#REF!+I232+#REF!+I221+#REF!+#REF!+#REF!+I172+I150+I135</f>
        <v>#REF!</v>
      </c>
      <c r="J248" s="34" t="e">
        <f>J247+#REF!+J232+#REF!+J221+#REF!+#REF!+#REF!+J172+J150+J135</f>
        <v>#REF!</v>
      </c>
      <c r="K248" s="34" t="e">
        <f>K247+#REF!+K232+#REF!+K221+#REF!+#REF!+#REF!+K172+K150+K135</f>
        <v>#REF!</v>
      </c>
      <c r="L248" s="34" t="e">
        <f>L247+#REF!+L232+L221+#REF!+#REF!+#REF!+L172+L150+L135</f>
        <v>#REF!</v>
      </c>
      <c r="M248" s="34" t="e">
        <f>M247+#REF!+M232+M221+#REF!+#REF!+#REF!+M172+M150+M135</f>
        <v>#REF!</v>
      </c>
      <c r="N248" s="34" t="e">
        <f>N247+#REF!+N232+N221+#REF!+#REF!+#REF!+N172+N150+N135</f>
        <v>#REF!</v>
      </c>
      <c r="O248" s="34" t="e">
        <f>O247+#REF!+O232+O221+#REF!+#REF!+#REF!+O172+O150+O135</f>
        <v>#REF!</v>
      </c>
      <c r="P248" s="34">
        <f t="shared" ref="P248:V248" si="71">P247+P232+P226+P221+P183+P181+P177+P172+P150+P135</f>
        <v>29581000</v>
      </c>
      <c r="Q248" s="34">
        <f t="shared" si="71"/>
        <v>26887722.439999998</v>
      </c>
      <c r="R248" s="34">
        <f t="shared" si="71"/>
        <v>36498000</v>
      </c>
      <c r="S248" s="34">
        <f t="shared" si="71"/>
        <v>34758941.318666667</v>
      </c>
      <c r="T248" s="34">
        <f t="shared" si="71"/>
        <v>37780500</v>
      </c>
      <c r="U248" s="123">
        <f t="shared" si="71"/>
        <v>154.22999999999999</v>
      </c>
      <c r="V248" s="123">
        <f t="shared" si="71"/>
        <v>174.94299999999998</v>
      </c>
      <c r="W248" s="22"/>
      <c r="X248" s="23"/>
      <c r="Y248" s="5">
        <f>IF(ISBLANK(B248),1,--OR(L248&gt;1,M248&gt;1,N248&gt;1))</f>
        <v>1</v>
      </c>
      <c r="Z248" s="1">
        <v>0</v>
      </c>
      <c r="AG248" s="1">
        <f t="shared" si="70"/>
        <v>2693277.5600000024</v>
      </c>
      <c r="AH248" s="1">
        <v>907000</v>
      </c>
    </row>
    <row r="249" spans="1:35" ht="24.95" customHeight="1">
      <c r="A249" s="85"/>
      <c r="B249" s="86"/>
      <c r="C249" s="87" t="s">
        <v>236</v>
      </c>
      <c r="D249" s="87"/>
      <c r="E249" s="87"/>
      <c r="F249" s="87"/>
      <c r="G249" s="87"/>
      <c r="H249" s="87"/>
      <c r="I249" s="88"/>
      <c r="J249" s="95"/>
      <c r="K249" s="124"/>
      <c r="L249" s="124"/>
      <c r="M249" s="124"/>
      <c r="N249" s="124"/>
      <c r="O249" s="95">
        <v>0</v>
      </c>
      <c r="P249" s="95"/>
      <c r="Q249" s="95"/>
      <c r="R249" s="95"/>
      <c r="S249" s="95"/>
      <c r="T249" s="124"/>
      <c r="U249" s="89"/>
      <c r="V249" s="89"/>
      <c r="W249" s="90"/>
      <c r="X249" s="91"/>
      <c r="Y249" s="85">
        <f>IF(ISBLANK(B249),1,--OR(L249&gt;1,M249&gt;1,N249&gt;1))</f>
        <v>1</v>
      </c>
      <c r="Z249" s="98">
        <f>+Q249-N249</f>
        <v>0</v>
      </c>
      <c r="AA249" s="85"/>
      <c r="AB249" s="85"/>
      <c r="AC249" s="85"/>
      <c r="AD249" s="85"/>
      <c r="AE249" s="85"/>
      <c r="AF249" s="85"/>
      <c r="AG249" s="83">
        <f t="shared" si="70"/>
        <v>0</v>
      </c>
    </row>
    <row r="250" spans="1:35" ht="24.95" customHeight="1">
      <c r="A250" s="85">
        <v>16</v>
      </c>
      <c r="B250" s="18">
        <v>1821000110</v>
      </c>
      <c r="C250" s="117" t="s">
        <v>556</v>
      </c>
      <c r="D250" s="117">
        <v>821000</v>
      </c>
      <c r="E250" s="19" t="s">
        <v>353</v>
      </c>
      <c r="F250" s="119">
        <v>0</v>
      </c>
      <c r="G250" s="119">
        <v>0</v>
      </c>
      <c r="H250" s="119">
        <v>0</v>
      </c>
      <c r="I250" s="119"/>
      <c r="J250" s="119"/>
      <c r="K250" s="119"/>
      <c r="L250" s="119"/>
      <c r="M250" s="119"/>
      <c r="N250" s="119"/>
      <c r="O250" s="119"/>
      <c r="P250" s="119">
        <f>VLOOKUP(B:B,'[3]תשלומים 2017'!B:R,15,0)</f>
        <v>907000</v>
      </c>
      <c r="Q250" s="119">
        <f>VLOOKUP(B:B,'[3]דוח כספי 10.17 מעודכן'!A:D,4,0)</f>
        <v>747560.88</v>
      </c>
      <c r="R250" s="119">
        <f>VLOOKUP(B:B,'[3]תשלומים 2017'!B:T,17,0)</f>
        <v>970000</v>
      </c>
      <c r="S250" s="119">
        <f>Q250/9*12</f>
        <v>996747.84000000008</v>
      </c>
      <c r="T250" s="119">
        <v>1006000</v>
      </c>
      <c r="U250" s="134">
        <v>8.57</v>
      </c>
      <c r="V250" s="134">
        <f>8.57+0.2</f>
        <v>8.77</v>
      </c>
      <c r="W250" s="97"/>
      <c r="X250" s="91"/>
      <c r="Y250" s="85"/>
      <c r="Z250" s="98"/>
      <c r="AA250" s="85"/>
      <c r="AB250" s="85"/>
      <c r="AC250" s="85"/>
      <c r="AD250" s="85"/>
      <c r="AE250" s="85"/>
      <c r="AF250" s="85"/>
      <c r="AG250" s="83">
        <f t="shared" si="70"/>
        <v>159439.12</v>
      </c>
      <c r="AH250">
        <v>0</v>
      </c>
    </row>
    <row r="251" spans="1:35" ht="24.95" customHeight="1">
      <c r="A251" s="85">
        <v>15</v>
      </c>
      <c r="B251" s="92">
        <v>1822000510</v>
      </c>
      <c r="C251" s="109" t="str">
        <f>MID(B251,8,3)</f>
        <v>510</v>
      </c>
      <c r="D251" s="109" t="str">
        <f>MID(B251,2,6)</f>
        <v>822000</v>
      </c>
      <c r="E251" s="93" t="s">
        <v>557</v>
      </c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>
        <f>VLOOKUP(B:B,'[3]תשלומים 2017'!B:R,15,0)</f>
        <v>182000</v>
      </c>
      <c r="Q251" s="95">
        <f>VLOOKUP(B:B,'[3]דוח כספי 10.17 מעודכן'!A:D,4,0)</f>
        <v>70246.720000000001</v>
      </c>
      <c r="R251" s="95">
        <f>VLOOKUP(B:B,'[3]תשלומים 2017'!B:T,17,0)</f>
        <v>85000</v>
      </c>
      <c r="S251" s="95">
        <f>Q251/10*12</f>
        <v>84296.064000000013</v>
      </c>
      <c r="T251" s="95">
        <v>85000</v>
      </c>
      <c r="U251" s="110"/>
      <c r="V251" s="110"/>
      <c r="W251" s="97"/>
      <c r="X251" s="91"/>
      <c r="Y251" s="85"/>
      <c r="Z251" s="98"/>
      <c r="AA251" s="85"/>
      <c r="AB251" s="85"/>
      <c r="AC251" s="85"/>
      <c r="AD251" s="85"/>
      <c r="AE251" s="85"/>
      <c r="AF251" s="85"/>
    </row>
    <row r="252" spans="1:35" ht="24.95" customHeight="1">
      <c r="A252" s="85">
        <v>15</v>
      </c>
      <c r="B252" s="92">
        <v>1822000650</v>
      </c>
      <c r="C252" s="109" t="str">
        <f t="shared" ref="C252:C288" si="72">MID(B252,8,3)</f>
        <v>650</v>
      </c>
      <c r="D252" s="109" t="str">
        <f t="shared" ref="D252:D273" si="73">MID(B252,2,6)</f>
        <v>822000</v>
      </c>
      <c r="E252" s="93" t="s">
        <v>558</v>
      </c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>
        <f>VLOOKUP(B:B,'[3]תשלומים 2017'!B:R,15,0)</f>
        <v>0</v>
      </c>
      <c r="Q252" s="95">
        <f>VLOOKUP(B:B,'[3]דוח כספי 10.17 מעודכן'!A:D,4,0)</f>
        <v>486208.53</v>
      </c>
      <c r="R252" s="95">
        <f>VLOOKUP(B:B,'[3]תשלומים 2017'!B:T,17,0)</f>
        <v>486000</v>
      </c>
      <c r="S252" s="95">
        <f>Q252/10*12</f>
        <v>583450.23600000003</v>
      </c>
      <c r="T252" s="95">
        <v>584000</v>
      </c>
      <c r="U252" s="110"/>
      <c r="V252" s="110"/>
      <c r="W252" s="97"/>
      <c r="X252" s="91"/>
      <c r="Y252" s="85"/>
      <c r="Z252" s="98"/>
      <c r="AA252" s="85"/>
      <c r="AB252" s="85"/>
      <c r="AC252" s="85"/>
      <c r="AD252" s="85"/>
      <c r="AE252" s="85"/>
      <c r="AF252" s="85"/>
      <c r="AG252" s="83">
        <f t="shared" si="70"/>
        <v>-486208.53</v>
      </c>
      <c r="AH252">
        <v>0</v>
      </c>
      <c r="AI252" t="s">
        <v>559</v>
      </c>
    </row>
    <row r="253" spans="1:35" ht="24.95" customHeight="1">
      <c r="A253" s="85">
        <v>15</v>
      </c>
      <c r="B253" s="92">
        <v>1822000750</v>
      </c>
      <c r="C253" s="109" t="str">
        <f t="shared" si="72"/>
        <v>750</v>
      </c>
      <c r="D253" s="109" t="str">
        <f t="shared" si="73"/>
        <v>822000</v>
      </c>
      <c r="E253" s="93" t="s">
        <v>560</v>
      </c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>
        <f>VLOOKUP(B:B,'[3]תשלומים 2017'!B:R,15,0)</f>
        <v>0</v>
      </c>
      <c r="Q253" s="95">
        <f>VLOOKUP(B:B,'[3]דוח כספי 10.17 מעודכן'!A:D,4,0)</f>
        <v>0</v>
      </c>
      <c r="R253" s="95">
        <f>VLOOKUP(B:B,'[3]תשלומים 2017'!B:T,17,0)</f>
        <v>0</v>
      </c>
      <c r="S253" s="95">
        <f>Q253/10*12</f>
        <v>0</v>
      </c>
      <c r="T253" s="95">
        <v>0</v>
      </c>
      <c r="U253" s="110"/>
      <c r="V253" s="110"/>
      <c r="W253" s="97"/>
      <c r="X253" s="91"/>
      <c r="Y253" s="85"/>
      <c r="Z253" s="98"/>
      <c r="AA253" s="85"/>
      <c r="AB253" s="85"/>
      <c r="AC253" s="85"/>
      <c r="AD253" s="85"/>
      <c r="AE253" s="85"/>
      <c r="AF253" s="85"/>
      <c r="AG253" s="83">
        <f t="shared" si="70"/>
        <v>0</v>
      </c>
      <c r="AH253">
        <v>0</v>
      </c>
    </row>
    <row r="254" spans="1:35" ht="24.95" customHeight="1">
      <c r="A254" s="85">
        <v>15</v>
      </c>
      <c r="B254" s="92">
        <v>1822000810</v>
      </c>
      <c r="C254" s="109" t="str">
        <f t="shared" si="72"/>
        <v>810</v>
      </c>
      <c r="D254" s="109" t="str">
        <f t="shared" si="73"/>
        <v>822000</v>
      </c>
      <c r="E254" s="93" t="s">
        <v>561</v>
      </c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>
        <f>VLOOKUP(B:B,'[3]תשלומים 2017'!B:R,15,0)</f>
        <v>0</v>
      </c>
      <c r="Q254" s="95">
        <f>VLOOKUP(B:B,'[3]דוח כספי 10.17 מעודכן'!A:D,4,0)</f>
        <v>77508</v>
      </c>
      <c r="R254" s="95">
        <f>VLOOKUP(B:B,'[3]תשלומים 2017'!B:T,17,0)</f>
        <v>93000</v>
      </c>
      <c r="S254" s="95">
        <f>Q254/10*12</f>
        <v>93009.600000000006</v>
      </c>
      <c r="T254" s="95">
        <v>93000</v>
      </c>
      <c r="U254" s="110"/>
      <c r="V254" s="110"/>
      <c r="W254" s="97"/>
      <c r="X254" s="91"/>
      <c r="Y254" s="85"/>
      <c r="Z254" s="98"/>
      <c r="AA254" s="85"/>
      <c r="AB254" s="85"/>
      <c r="AC254" s="85"/>
      <c r="AD254" s="85"/>
      <c r="AE254" s="85"/>
      <c r="AF254" s="85"/>
      <c r="AG254" s="83">
        <f t="shared" si="70"/>
        <v>-77508</v>
      </c>
      <c r="AH254">
        <v>0</v>
      </c>
    </row>
    <row r="255" spans="1:35" ht="24.95" customHeight="1">
      <c r="A255" s="85">
        <v>15</v>
      </c>
      <c r="B255" s="92">
        <v>1822000930</v>
      </c>
      <c r="C255" s="109" t="str">
        <f t="shared" si="72"/>
        <v>930</v>
      </c>
      <c r="D255" s="109" t="str">
        <f t="shared" si="73"/>
        <v>822000</v>
      </c>
      <c r="E255" s="93" t="s">
        <v>390</v>
      </c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>
        <f>VLOOKUP(B:B,'[3]תשלומים 2017'!B:R,15,0)</f>
        <v>0</v>
      </c>
      <c r="Q255" s="95">
        <f>VLOOKUP(B:B,'[3]דוח כספי 10.17 מעודכן'!A:D,4,0)</f>
        <v>0</v>
      </c>
      <c r="R255" s="95">
        <f>VLOOKUP(B:B,'[3]תשלומים 2017'!B:T,17,0)</f>
        <v>0</v>
      </c>
      <c r="S255" s="95">
        <f>Q255/10*12</f>
        <v>0</v>
      </c>
      <c r="T255" s="95">
        <v>0</v>
      </c>
      <c r="U255" s="110"/>
      <c r="V255" s="110"/>
      <c r="W255" s="97"/>
      <c r="X255" s="91"/>
      <c r="Y255" s="85"/>
      <c r="Z255" s="98"/>
      <c r="AA255" s="85"/>
      <c r="AB255" s="85"/>
      <c r="AC255" s="85"/>
      <c r="AD255" s="85"/>
      <c r="AE255" s="85"/>
      <c r="AF255" s="85"/>
      <c r="AG255" s="83">
        <f t="shared" si="70"/>
        <v>0</v>
      </c>
      <c r="AH255">
        <v>0</v>
      </c>
    </row>
    <row r="256" spans="1:35" ht="24.95" customHeight="1">
      <c r="A256" s="85">
        <v>16</v>
      </c>
      <c r="B256" s="92">
        <v>1823000110</v>
      </c>
      <c r="C256" s="109" t="str">
        <f t="shared" si="72"/>
        <v>110</v>
      </c>
      <c r="D256" s="109" t="str">
        <f t="shared" si="73"/>
        <v>823000</v>
      </c>
      <c r="E256" s="93" t="s">
        <v>353</v>
      </c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>
        <f>VLOOKUP(B:B,'[3]תשלומים 2017'!B:R,15,0)</f>
        <v>0</v>
      </c>
      <c r="Q256" s="95">
        <f>VLOOKUP(B:B,'[3]דוח כספי 10.17 מעודכן'!A:D,4,0)</f>
        <v>0</v>
      </c>
      <c r="R256" s="95">
        <f>VLOOKUP(B:B,'[3]תשלומים 2017'!B:T,17,0)</f>
        <v>0</v>
      </c>
      <c r="S256" s="95">
        <f>Q256/9*12</f>
        <v>0</v>
      </c>
      <c r="T256" s="95">
        <v>0</v>
      </c>
      <c r="U256" s="96"/>
      <c r="V256" s="96"/>
      <c r="W256" s="97"/>
      <c r="X256" s="91"/>
      <c r="Y256" s="85"/>
      <c r="Z256" s="98"/>
      <c r="AA256" s="85"/>
      <c r="AB256" s="85"/>
      <c r="AC256" s="85"/>
      <c r="AD256" s="85"/>
      <c r="AE256" s="85"/>
      <c r="AF256" s="85"/>
      <c r="AG256"/>
    </row>
    <row r="257" spans="1:33" ht="24.95" customHeight="1">
      <c r="A257" s="85">
        <v>15</v>
      </c>
      <c r="B257" s="92">
        <v>1823000431</v>
      </c>
      <c r="C257" s="109" t="str">
        <f t="shared" si="72"/>
        <v>431</v>
      </c>
      <c r="D257" s="109" t="str">
        <f t="shared" si="73"/>
        <v>823000</v>
      </c>
      <c r="E257" s="93" t="s">
        <v>562</v>
      </c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>
        <f>VLOOKUP(B:B,'[3]תשלומים 2017'!B:R,15,0)</f>
        <v>13000</v>
      </c>
      <c r="Q257" s="95">
        <f>VLOOKUP(B:B,'[3]דוח כספי 10.17 מעודכן'!A:D,4,0)</f>
        <v>8960.73</v>
      </c>
      <c r="R257" s="95">
        <f>VLOOKUP(B:B,'[3]תשלומים 2017'!B:T,17,0)</f>
        <v>11000</v>
      </c>
      <c r="S257" s="95">
        <f>Q257/10*12</f>
        <v>10752.876</v>
      </c>
      <c r="T257" s="95">
        <v>11000</v>
      </c>
      <c r="U257" s="110"/>
      <c r="V257" s="110"/>
      <c r="W257" s="97"/>
      <c r="X257" s="91"/>
      <c r="Y257" s="85"/>
      <c r="Z257" s="98"/>
      <c r="AA257" s="85"/>
      <c r="AB257" s="85"/>
      <c r="AC257" s="85"/>
      <c r="AD257" s="85"/>
      <c r="AE257" s="85"/>
      <c r="AF257" s="85"/>
      <c r="AG257" s="83">
        <f>P257-Q257</f>
        <v>4039.2700000000004</v>
      </c>
    </row>
    <row r="258" spans="1:33" ht="24.95" customHeight="1">
      <c r="A258" s="85">
        <v>15</v>
      </c>
      <c r="B258" s="92">
        <v>1823000560</v>
      </c>
      <c r="C258" s="109" t="str">
        <f t="shared" si="72"/>
        <v>560</v>
      </c>
      <c r="D258" s="109" t="str">
        <f t="shared" si="73"/>
        <v>823000</v>
      </c>
      <c r="E258" s="93" t="s">
        <v>387</v>
      </c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>
        <f>VLOOKUP(B:B,'[3]תשלומים 2017'!B:R,15,0)</f>
        <v>10000</v>
      </c>
      <c r="Q258" s="95">
        <f>VLOOKUP(B:B,'[3]דוח כספי 10.17 מעודכן'!A:D,4,0)</f>
        <v>5160</v>
      </c>
      <c r="R258" s="95">
        <f>VLOOKUP(B:B,'[3]תשלומים 2017'!B:T,17,0)</f>
        <v>6000</v>
      </c>
      <c r="S258" s="95">
        <f>Q258/10*12</f>
        <v>6192</v>
      </c>
      <c r="T258" s="95">
        <v>6000</v>
      </c>
      <c r="U258" s="110"/>
      <c r="V258" s="110"/>
      <c r="W258" s="97"/>
      <c r="X258" s="91"/>
      <c r="Y258" s="85"/>
      <c r="Z258" s="98"/>
      <c r="AA258" s="85"/>
      <c r="AB258" s="85"/>
      <c r="AC258" s="85"/>
      <c r="AD258" s="85"/>
      <c r="AE258" s="85"/>
      <c r="AF258" s="85"/>
      <c r="AG258" s="83">
        <f>P258-Q258</f>
        <v>4840</v>
      </c>
    </row>
    <row r="259" spans="1:33" ht="24.95" customHeight="1">
      <c r="A259" s="85">
        <v>15</v>
      </c>
      <c r="B259" s="92">
        <v>1823000750</v>
      </c>
      <c r="C259" s="109" t="str">
        <f t="shared" si="72"/>
        <v>750</v>
      </c>
      <c r="D259" s="109" t="str">
        <f t="shared" si="73"/>
        <v>823000</v>
      </c>
      <c r="E259" s="93" t="s">
        <v>563</v>
      </c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>
        <f>VLOOKUP(B:B,'[3]תשלומים 2017'!B:R,15,0)</f>
        <v>0</v>
      </c>
      <c r="Q259" s="95">
        <f>VLOOKUP(B:B,'[3]דוח כספי 10.17 מעודכן'!A:D,4,0)</f>
        <v>23925.7</v>
      </c>
      <c r="R259" s="95">
        <f>VLOOKUP(B:B,'[3]תשלומים 2017'!B:T,17,0)</f>
        <v>29000</v>
      </c>
      <c r="S259" s="95">
        <f>Q259/10*12</f>
        <v>28710.840000000004</v>
      </c>
      <c r="T259" s="95">
        <v>29000</v>
      </c>
      <c r="U259" s="110"/>
      <c r="V259" s="110"/>
      <c r="W259" s="97"/>
      <c r="X259" s="91"/>
      <c r="Y259" s="85"/>
      <c r="Z259" s="98"/>
      <c r="AA259" s="85"/>
      <c r="AB259" s="85"/>
      <c r="AC259" s="85"/>
      <c r="AD259" s="85"/>
      <c r="AE259" s="85"/>
      <c r="AF259" s="85"/>
      <c r="AG259" s="83">
        <f>P259-Q259</f>
        <v>-23925.7</v>
      </c>
    </row>
    <row r="260" spans="1:33" ht="24.95" customHeight="1">
      <c r="A260" s="85">
        <v>15</v>
      </c>
      <c r="B260" s="92">
        <v>1823000930</v>
      </c>
      <c r="C260" s="109" t="str">
        <f t="shared" si="72"/>
        <v>930</v>
      </c>
      <c r="D260" s="109" t="str">
        <f t="shared" si="73"/>
        <v>823000</v>
      </c>
      <c r="E260" s="93" t="s">
        <v>564</v>
      </c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>
        <f>VLOOKUP(B:B,'[3]תשלומים 2017'!B:R,15,0)</f>
        <v>0</v>
      </c>
      <c r="Q260" s="95">
        <f>VLOOKUP(B:B,'[3]דוח כספי 10.17 מעודכן'!A:D,4,0)</f>
        <v>0</v>
      </c>
      <c r="R260" s="95">
        <f>VLOOKUP(B:B,'[3]תשלומים 2017'!B:T,17,0)</f>
        <v>0</v>
      </c>
      <c r="S260" s="95">
        <f>Q260/10*12</f>
        <v>0</v>
      </c>
      <c r="T260" s="95">
        <v>0</v>
      </c>
      <c r="U260" s="110"/>
      <c r="V260" s="110"/>
      <c r="W260" s="97"/>
      <c r="X260" s="91"/>
      <c r="Y260" s="85"/>
      <c r="Z260" s="98"/>
      <c r="AA260" s="85"/>
      <c r="AB260" s="85"/>
      <c r="AC260" s="85"/>
      <c r="AD260" s="85"/>
      <c r="AE260" s="85"/>
      <c r="AF260" s="85"/>
      <c r="AG260" s="83">
        <f>P260-Q260</f>
        <v>0</v>
      </c>
    </row>
    <row r="261" spans="1:33" ht="24.95" customHeight="1">
      <c r="A261" s="85">
        <v>15</v>
      </c>
      <c r="B261" s="92">
        <v>1824000780</v>
      </c>
      <c r="C261" s="109" t="str">
        <f t="shared" si="72"/>
        <v>780</v>
      </c>
      <c r="D261" s="109" t="str">
        <f t="shared" si="73"/>
        <v>824000</v>
      </c>
      <c r="E261" s="93" t="s">
        <v>565</v>
      </c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>
        <f>VLOOKUP(B:B,'[3]תשלומים 2017'!B:R,15,0)</f>
        <v>0</v>
      </c>
      <c r="Q261" s="95">
        <f>VLOOKUP(B:B,'[3]דוח כספי 10.17 מעודכן'!A:D,4,0)</f>
        <v>0</v>
      </c>
      <c r="R261" s="95">
        <f>VLOOKUP(B:B,'[3]תשלומים 2017'!B:T,17,0)</f>
        <v>0</v>
      </c>
      <c r="S261" s="95">
        <f>Q261/10*12</f>
        <v>0</v>
      </c>
      <c r="T261" s="95">
        <v>0</v>
      </c>
      <c r="U261" s="110"/>
      <c r="V261" s="110"/>
      <c r="W261" s="97"/>
      <c r="X261" s="91"/>
      <c r="Y261" s="85"/>
      <c r="Z261" s="98"/>
      <c r="AA261" s="85"/>
      <c r="AB261" s="85"/>
      <c r="AC261" s="85"/>
      <c r="AD261" s="85"/>
      <c r="AE261" s="85"/>
      <c r="AF261" s="85"/>
      <c r="AG261" s="83">
        <f>P261-Q261</f>
        <v>0</v>
      </c>
    </row>
    <row r="262" spans="1:33" ht="24.95" customHeight="1">
      <c r="A262" s="85">
        <v>16</v>
      </c>
      <c r="B262" s="92">
        <v>1828000110</v>
      </c>
      <c r="C262" s="109" t="str">
        <f t="shared" si="72"/>
        <v>110</v>
      </c>
      <c r="D262" s="109" t="str">
        <f t="shared" si="73"/>
        <v>828000</v>
      </c>
      <c r="E262" s="93" t="s">
        <v>413</v>
      </c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>
        <f>VLOOKUP(B:B,'[3]תשלומים 2017'!B:R,15,0)</f>
        <v>135000</v>
      </c>
      <c r="Q262" s="95">
        <f>VLOOKUP(B:B,'[3]דוח כספי 10.17 מעודכן'!A:D,4,0)</f>
        <v>130966.46</v>
      </c>
      <c r="R262" s="95">
        <v>160000</v>
      </c>
      <c r="S262" s="95">
        <f>Q262/9*12</f>
        <v>174621.94666666666</v>
      </c>
      <c r="T262" s="95">
        <v>158000</v>
      </c>
      <c r="U262" s="111">
        <v>2</v>
      </c>
      <c r="V262" s="111">
        <v>2</v>
      </c>
      <c r="W262" s="97"/>
      <c r="X262" s="91"/>
      <c r="Y262" s="85"/>
      <c r="Z262" s="98"/>
      <c r="AA262" s="85"/>
      <c r="AB262" s="85"/>
      <c r="AC262" s="85"/>
      <c r="AD262" s="85"/>
      <c r="AE262" s="85"/>
      <c r="AF262" s="85"/>
      <c r="AG262"/>
    </row>
    <row r="263" spans="1:33" ht="24.95" customHeight="1">
      <c r="A263" s="85">
        <v>16</v>
      </c>
      <c r="B263" s="92">
        <v>1828100110</v>
      </c>
      <c r="C263" s="109" t="str">
        <f t="shared" si="72"/>
        <v>110</v>
      </c>
      <c r="D263" s="109" t="str">
        <f t="shared" si="73"/>
        <v>828100</v>
      </c>
      <c r="E263" s="93" t="s">
        <v>566</v>
      </c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>
        <f>VLOOKUP(B:B,'[3]תשלומים 2017'!B:R,15,0)</f>
        <v>245000</v>
      </c>
      <c r="Q263" s="95">
        <f>VLOOKUP(B:B,'[3]דוח כספי 10.17 מעודכן'!A:D,4,0)</f>
        <v>187045.84</v>
      </c>
      <c r="R263" s="95">
        <f>VLOOKUP(B:B,'[3]תשלומים 2017'!B:T,17,0)</f>
        <v>260000</v>
      </c>
      <c r="S263" s="95">
        <f>Q263/9*12</f>
        <v>249394.45333333334</v>
      </c>
      <c r="T263" s="95">
        <v>365000</v>
      </c>
      <c r="U263" s="111">
        <v>0</v>
      </c>
      <c r="V263" s="111">
        <v>3.65</v>
      </c>
      <c r="W263" s="97"/>
      <c r="X263" s="91"/>
      <c r="Y263" s="85"/>
      <c r="Z263" s="98"/>
      <c r="AA263" s="85"/>
      <c r="AB263" s="85"/>
      <c r="AC263" s="85"/>
      <c r="AD263" s="85"/>
      <c r="AE263" s="85"/>
      <c r="AF263" s="85"/>
      <c r="AG263"/>
    </row>
    <row r="264" spans="1:33" ht="24.95" customHeight="1">
      <c r="A264" s="85">
        <v>15</v>
      </c>
      <c r="B264" s="92">
        <v>1828100750</v>
      </c>
      <c r="C264" s="109" t="str">
        <f t="shared" si="72"/>
        <v>750</v>
      </c>
      <c r="D264" s="109" t="str">
        <f t="shared" si="73"/>
        <v>828100</v>
      </c>
      <c r="E264" s="93" t="s">
        <v>567</v>
      </c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>
        <f>VLOOKUP(B:B,'[3]תשלומים 2017'!B:R,15,0)</f>
        <v>0</v>
      </c>
      <c r="Q264" s="95">
        <f>VLOOKUP(B:B,'[3]דוח כספי 10.17 מעודכן'!A:D,4,0)</f>
        <v>42925</v>
      </c>
      <c r="R264" s="95">
        <f>VLOOKUP(B:B,'[3]תשלומים 2017'!B:T,17,0)</f>
        <v>60000</v>
      </c>
      <c r="S264" s="95">
        <f>Q264/10*12</f>
        <v>51510</v>
      </c>
      <c r="T264" s="95">
        <v>52000</v>
      </c>
      <c r="U264" s="110"/>
      <c r="V264" s="110"/>
      <c r="W264" s="97"/>
      <c r="X264" s="91"/>
      <c r="Y264" s="85"/>
      <c r="Z264" s="98"/>
      <c r="AA264" s="85"/>
      <c r="AB264" s="85"/>
      <c r="AC264" s="85"/>
      <c r="AD264" s="85"/>
      <c r="AE264" s="85"/>
      <c r="AF264" s="85"/>
      <c r="AG264" s="83">
        <f>P264-Q264</f>
        <v>-42925</v>
      </c>
    </row>
    <row r="265" spans="1:33" ht="24.95" customHeight="1">
      <c r="A265" s="85">
        <v>16</v>
      </c>
      <c r="B265" s="92">
        <v>1828200110</v>
      </c>
      <c r="C265" s="109" t="str">
        <f t="shared" si="72"/>
        <v>110</v>
      </c>
      <c r="D265" s="109" t="str">
        <f t="shared" si="73"/>
        <v>828200</v>
      </c>
      <c r="E265" s="93" t="s">
        <v>568</v>
      </c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>
        <f>VLOOKUP(B:B,'[3]תשלומים 2017'!B:R,15,0)</f>
        <v>344000</v>
      </c>
      <c r="Q265" s="95">
        <f>VLOOKUP(B:B,'[3]דוח כספי 10.17 מעודכן'!A:D,4,0)</f>
        <v>253588.81</v>
      </c>
      <c r="R265" s="95">
        <f>VLOOKUP(B:B,'[3]תשלומים 2017'!B:T,17,0)</f>
        <v>315000</v>
      </c>
      <c r="S265" s="95">
        <f>Q265/9*12</f>
        <v>338118.41333333333</v>
      </c>
      <c r="T265" s="95">
        <v>353000</v>
      </c>
      <c r="U265" s="96">
        <v>2.46</v>
      </c>
      <c r="V265" s="96">
        <f>2.46+0.34</f>
        <v>2.8</v>
      </c>
      <c r="W265" s="97"/>
      <c r="X265" s="91"/>
      <c r="Y265" s="85"/>
      <c r="Z265" s="98"/>
      <c r="AA265" s="85"/>
      <c r="AB265" s="85"/>
      <c r="AC265" s="85"/>
      <c r="AD265" s="85"/>
      <c r="AE265" s="85"/>
      <c r="AF265" s="85"/>
      <c r="AG265"/>
    </row>
    <row r="266" spans="1:33" ht="24.95" customHeight="1">
      <c r="A266" s="85">
        <v>15</v>
      </c>
      <c r="B266" s="92">
        <v>1828200810</v>
      </c>
      <c r="C266" s="109" t="str">
        <f t="shared" si="72"/>
        <v>810</v>
      </c>
      <c r="D266" s="109" t="str">
        <f t="shared" si="73"/>
        <v>828200</v>
      </c>
      <c r="E266" s="93" t="s">
        <v>569</v>
      </c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>
        <f>VLOOKUP(B:B,'[3]תשלומים 2017'!B:R,15,0)</f>
        <v>17000</v>
      </c>
      <c r="Q266" s="95">
        <f>VLOOKUP(B:B,'[3]דוח כספי 10.17 מעודכן'!A:D,4,0)</f>
        <v>8945</v>
      </c>
      <c r="R266" s="95">
        <f>VLOOKUP(B:B,'[3]תשלומים 2017'!B:T,17,0)</f>
        <v>11000</v>
      </c>
      <c r="S266" s="95">
        <f>Q266/10*12</f>
        <v>10734</v>
      </c>
      <c r="T266" s="95">
        <v>11000</v>
      </c>
      <c r="U266" s="110"/>
      <c r="V266" s="110"/>
      <c r="W266" s="97"/>
      <c r="X266" s="91"/>
      <c r="Y266" s="85"/>
      <c r="Z266" s="98"/>
      <c r="AA266" s="85"/>
      <c r="AB266" s="85"/>
      <c r="AC266" s="85"/>
      <c r="AD266" s="85"/>
      <c r="AE266" s="85"/>
      <c r="AF266" s="85"/>
      <c r="AG266" s="83">
        <f>P266-Q266</f>
        <v>8055</v>
      </c>
    </row>
    <row r="267" spans="1:33" ht="24.95" customHeight="1">
      <c r="A267" s="85">
        <v>16</v>
      </c>
      <c r="B267" s="92">
        <v>1828210110</v>
      </c>
      <c r="C267" s="109" t="str">
        <f t="shared" si="72"/>
        <v>110</v>
      </c>
      <c r="D267" s="109" t="str">
        <f t="shared" si="73"/>
        <v>828210</v>
      </c>
      <c r="E267" s="93" t="s">
        <v>570</v>
      </c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>
        <f>VLOOKUP(B:B,'[3]תשלומים 2017'!B:R,15,0)</f>
        <v>101000</v>
      </c>
      <c r="Q267" s="95">
        <f>VLOOKUP(B:B,'[3]דוח כספי 10.17 מעודכן'!A:D,4,0)</f>
        <v>74694.78</v>
      </c>
      <c r="R267" s="95">
        <f>VLOOKUP(B:B,'[3]תשלומים 2017'!B:T,17,0)</f>
        <v>100000</v>
      </c>
      <c r="S267" s="95">
        <f>Q267/9*12</f>
        <v>99593.040000000008</v>
      </c>
      <c r="T267" s="95">
        <v>100000</v>
      </c>
      <c r="U267" s="96">
        <v>0</v>
      </c>
      <c r="V267" s="96">
        <v>1</v>
      </c>
      <c r="W267" s="97"/>
      <c r="X267" s="91"/>
      <c r="Y267" s="85"/>
      <c r="Z267" s="98"/>
      <c r="AA267" s="85"/>
      <c r="AB267" s="85"/>
      <c r="AC267" s="85"/>
      <c r="AD267" s="85"/>
      <c r="AE267" s="85"/>
      <c r="AF267" s="85"/>
      <c r="AG267"/>
    </row>
    <row r="268" spans="1:33" ht="24.95" customHeight="1">
      <c r="A268" s="85">
        <v>15</v>
      </c>
      <c r="B268" s="92">
        <v>1828210810</v>
      </c>
      <c r="C268" s="109" t="str">
        <f t="shared" si="72"/>
        <v>810</v>
      </c>
      <c r="D268" s="109" t="str">
        <f t="shared" si="73"/>
        <v>828210</v>
      </c>
      <c r="E268" s="93" t="s">
        <v>571</v>
      </c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>
        <f>VLOOKUP(B:B,'[3]תשלומים 2017'!B:R,15,0)</f>
        <v>105000</v>
      </c>
      <c r="Q268" s="95">
        <f>VLOOKUP(B:B,'[3]דוח כספי 10.17 מעודכן'!A:D,4,0)</f>
        <v>255291</v>
      </c>
      <c r="R268" s="95">
        <f>VLOOKUP(B:B,'[3]תשלומים 2017'!B:T,17,0)</f>
        <v>300000</v>
      </c>
      <c r="S268" s="95">
        <f t="shared" ref="S268:S273" si="74">Q268/10*12</f>
        <v>306349.19999999995</v>
      </c>
      <c r="T268" s="95">
        <v>300000</v>
      </c>
      <c r="U268" s="110"/>
      <c r="V268" s="110"/>
      <c r="W268" s="97"/>
      <c r="X268" s="91"/>
      <c r="Y268" s="85"/>
      <c r="Z268" s="98"/>
      <c r="AA268" s="85"/>
      <c r="AB268" s="85"/>
      <c r="AC268" s="85"/>
      <c r="AD268" s="85"/>
      <c r="AE268" s="85"/>
      <c r="AF268" s="85"/>
      <c r="AG268" s="83">
        <f>P268-Q268</f>
        <v>-150291</v>
      </c>
    </row>
    <row r="269" spans="1:33" ht="24.95" customHeight="1">
      <c r="A269" s="85">
        <v>15</v>
      </c>
      <c r="B269" s="92">
        <v>1828220650</v>
      </c>
      <c r="C269" s="109" t="str">
        <f t="shared" si="72"/>
        <v>650</v>
      </c>
      <c r="D269" s="109" t="str">
        <f t="shared" si="73"/>
        <v>828220</v>
      </c>
      <c r="E269" s="93" t="s">
        <v>572</v>
      </c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>
        <f>VLOOKUP(B:B,'[3]תשלומים 2017'!B:R,15,0)</f>
        <v>0</v>
      </c>
      <c r="Q269" s="95">
        <f>VLOOKUP(B:B,'[3]דוח כספי 10.17 מעודכן'!A:D,4,0)</f>
        <v>3021.09</v>
      </c>
      <c r="R269" s="95">
        <f>VLOOKUP(B:B,'[3]תשלומים 2017'!B:T,17,0)</f>
        <v>4000</v>
      </c>
      <c r="S269" s="95">
        <f t="shared" si="74"/>
        <v>3625.3080000000004</v>
      </c>
      <c r="T269" s="95">
        <v>4000</v>
      </c>
      <c r="U269" s="110"/>
      <c r="V269" s="110"/>
      <c r="W269" s="97"/>
      <c r="X269" s="91"/>
      <c r="Y269" s="85"/>
      <c r="Z269" s="98"/>
      <c r="AA269" s="85"/>
      <c r="AB269" s="85"/>
      <c r="AC269" s="85"/>
      <c r="AD269" s="85"/>
      <c r="AE269" s="85"/>
      <c r="AF269" s="85"/>
      <c r="AG269" s="83">
        <f>P269-Q269</f>
        <v>-3021.09</v>
      </c>
    </row>
    <row r="270" spans="1:33" ht="24.95" customHeight="1">
      <c r="A270" s="85">
        <v>15</v>
      </c>
      <c r="B270" s="100">
        <v>1828220810</v>
      </c>
      <c r="C270" s="101" t="str">
        <f t="shared" si="72"/>
        <v>810</v>
      </c>
      <c r="D270" s="101" t="str">
        <f t="shared" si="73"/>
        <v>828220</v>
      </c>
      <c r="E270" s="102" t="s">
        <v>573</v>
      </c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>
        <f>VLOOKUP(B:B,'[3]תשלומים 2017'!B:R,15,0)</f>
        <v>0</v>
      </c>
      <c r="Q270" s="103">
        <f>VLOOKUP(B:B,'[3]דוח כספי 10.17 מעודכן'!A:D,4,0)</f>
        <v>-100000</v>
      </c>
      <c r="R270" s="103">
        <f>VLOOKUP(B:B,'[3]תשלומים 2017'!B:T,17,0)</f>
        <v>0</v>
      </c>
      <c r="S270" s="103">
        <v>0</v>
      </c>
      <c r="T270" s="103">
        <v>0</v>
      </c>
      <c r="U270" s="110"/>
      <c r="V270" s="110"/>
      <c r="W270" s="97"/>
      <c r="X270" s="91"/>
      <c r="Y270" s="85"/>
      <c r="Z270" s="98"/>
      <c r="AA270" s="85"/>
      <c r="AB270" s="85"/>
      <c r="AC270" s="85"/>
      <c r="AD270" s="85"/>
      <c r="AE270" s="85"/>
      <c r="AF270" s="85"/>
      <c r="AG270" s="83">
        <f>P270-Q270</f>
        <v>100000</v>
      </c>
    </row>
    <row r="271" spans="1:33" ht="24.95" customHeight="1">
      <c r="A271" s="85">
        <v>16</v>
      </c>
      <c r="B271" s="92">
        <v>1828226110</v>
      </c>
      <c r="C271" s="109" t="str">
        <f t="shared" si="72"/>
        <v>110</v>
      </c>
      <c r="D271" s="109" t="str">
        <f t="shared" si="73"/>
        <v>828226</v>
      </c>
      <c r="E271" s="93" t="s">
        <v>574</v>
      </c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>
        <f>VLOOKUP(B:B,'[3]תשלומים 2017'!B:R,15,0)</f>
        <v>0</v>
      </c>
      <c r="Q271" s="95">
        <f>VLOOKUP(B:B,'[3]דוח כספי 10.17 מעודכן'!A:D,4,0)</f>
        <v>66531.06</v>
      </c>
      <c r="R271" s="95">
        <f>VLOOKUP(B:B,'[3]תשלומים 2017'!B:T,17,0)</f>
        <v>130000</v>
      </c>
      <c r="S271" s="95">
        <f>Q271/9*12</f>
        <v>88708.08</v>
      </c>
      <c r="T271" s="95">
        <v>83000</v>
      </c>
      <c r="U271" s="96">
        <v>0.51</v>
      </c>
      <c r="V271" s="96">
        <v>0.83</v>
      </c>
      <c r="W271" s="97"/>
      <c r="X271" s="91"/>
      <c r="Y271" s="85"/>
      <c r="Z271" s="98"/>
      <c r="AA271" s="85"/>
      <c r="AB271" s="85"/>
      <c r="AC271" s="85"/>
      <c r="AD271" s="85"/>
      <c r="AE271" s="85"/>
      <c r="AF271" s="85"/>
      <c r="AG271"/>
    </row>
    <row r="272" spans="1:33" ht="24.95" customHeight="1">
      <c r="A272" s="85">
        <v>15</v>
      </c>
      <c r="B272" s="92">
        <v>1828310810</v>
      </c>
      <c r="C272" s="109" t="str">
        <f t="shared" si="72"/>
        <v>810</v>
      </c>
      <c r="D272" s="109" t="str">
        <f t="shared" si="73"/>
        <v>828310</v>
      </c>
      <c r="E272" s="93" t="s">
        <v>575</v>
      </c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>
        <f>VLOOKUP(B:B,'[3]תשלומים 2017'!B:R,15,0)</f>
        <v>300000</v>
      </c>
      <c r="Q272" s="95">
        <f>VLOOKUP(B:B,'[3]דוח כספי 10.17 מעודכן'!A:D,4,0)</f>
        <v>357000</v>
      </c>
      <c r="R272" s="95">
        <f>VLOOKUP(B:B,'[3]תשלומים 2017'!B:T,17,0)</f>
        <v>357000</v>
      </c>
      <c r="S272" s="95">
        <f t="shared" si="74"/>
        <v>428400</v>
      </c>
      <c r="T272" s="95">
        <v>300000</v>
      </c>
      <c r="U272" s="110"/>
      <c r="V272" s="110"/>
      <c r="W272" s="97"/>
      <c r="X272" s="91"/>
      <c r="Y272" s="85"/>
      <c r="Z272" s="98"/>
      <c r="AA272" s="85"/>
      <c r="AB272" s="85"/>
      <c r="AC272" s="85"/>
      <c r="AD272" s="85"/>
      <c r="AE272" s="85"/>
      <c r="AF272" s="85"/>
      <c r="AG272" s="83">
        <f>P272-Q272</f>
        <v>-57000</v>
      </c>
    </row>
    <row r="273" spans="1:34" ht="24.95" customHeight="1">
      <c r="A273" s="85">
        <v>15</v>
      </c>
      <c r="B273" s="92">
        <v>1828410810</v>
      </c>
      <c r="C273" s="109" t="str">
        <f t="shared" si="72"/>
        <v>810</v>
      </c>
      <c r="D273" s="109" t="str">
        <f t="shared" si="73"/>
        <v>828410</v>
      </c>
      <c r="E273" s="93" t="s">
        <v>523</v>
      </c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>
        <f>VLOOKUP(B:B,'[3]תשלומים 2017'!B:R,15,0)</f>
        <v>67000</v>
      </c>
      <c r="Q273" s="95">
        <f>VLOOKUP(B:B,'[3]דוח כספי 10.17 מעודכן'!A:D,4,0)</f>
        <v>34719</v>
      </c>
      <c r="R273" s="95">
        <f>VLOOKUP(B:B,'[3]תשלומים 2017'!B:T,17,0)</f>
        <v>35000</v>
      </c>
      <c r="S273" s="95">
        <f t="shared" si="74"/>
        <v>41662.800000000003</v>
      </c>
      <c r="T273" s="95">
        <v>42000</v>
      </c>
      <c r="U273" s="110"/>
      <c r="V273" s="110"/>
      <c r="W273" s="97"/>
      <c r="X273" s="91"/>
      <c r="Y273" s="85"/>
      <c r="Z273" s="98"/>
      <c r="AA273" s="85"/>
      <c r="AB273" s="85"/>
      <c r="AC273" s="85"/>
      <c r="AD273" s="85"/>
      <c r="AE273" s="85"/>
      <c r="AF273" s="85"/>
      <c r="AG273" s="83">
        <f>P273-Q273</f>
        <v>32281</v>
      </c>
    </row>
    <row r="274" spans="1:34" s="1" customFormat="1" ht="24.95" customHeight="1">
      <c r="B274" s="28"/>
      <c r="C274" s="29"/>
      <c r="D274" s="29"/>
      <c r="E274" s="29" t="s">
        <v>576</v>
      </c>
      <c r="F274" s="30" t="e">
        <f>SUM(#REF!)</f>
        <v>#REF!</v>
      </c>
      <c r="G274" s="30" t="e">
        <f>SUM(#REF!)</f>
        <v>#REF!</v>
      </c>
      <c r="H274" s="30" t="e">
        <f>SUM(#REF!)</f>
        <v>#REF!</v>
      </c>
      <c r="I274" s="30" t="e">
        <f>SUM(#REF!)</f>
        <v>#REF!</v>
      </c>
      <c r="J274" s="30" t="e">
        <f>SUM(#REF!)</f>
        <v>#REF!</v>
      </c>
      <c r="K274" s="30" t="e">
        <f>SUM(#REF!)</f>
        <v>#REF!</v>
      </c>
      <c r="L274" s="30" t="e">
        <f>SUM(#REF!)</f>
        <v>#REF!</v>
      </c>
      <c r="M274" s="30" t="e">
        <f>SUM(#REF!)</f>
        <v>#REF!</v>
      </c>
      <c r="N274" s="30" t="e">
        <f>SUM(#REF!)</f>
        <v>#REF!</v>
      </c>
      <c r="O274" s="30" t="e">
        <f>SUM(#REF!)</f>
        <v>#REF!</v>
      </c>
      <c r="P274" s="30">
        <f t="shared" ref="P274:V274" si="75">SUM(P250:P273)</f>
        <v>2426000</v>
      </c>
      <c r="Q274" s="30">
        <f t="shared" si="75"/>
        <v>2734298.5999999996</v>
      </c>
      <c r="R274" s="30">
        <f t="shared" si="75"/>
        <v>3412000</v>
      </c>
      <c r="S274" s="30">
        <f t="shared" si="75"/>
        <v>3595876.697333334</v>
      </c>
      <c r="T274" s="30">
        <f>SUM(T250:T273)</f>
        <v>3582000</v>
      </c>
      <c r="U274" s="112">
        <f t="shared" si="75"/>
        <v>13.540000000000001</v>
      </c>
      <c r="V274" s="112">
        <f t="shared" si="75"/>
        <v>19.049999999999997</v>
      </c>
      <c r="W274" s="22"/>
      <c r="X274" s="23"/>
      <c r="Y274" s="5">
        <f>IF(ISBLANK(B274),1,--OR(L274&gt;1,M274&gt;1,N274&gt;1))</f>
        <v>1</v>
      </c>
      <c r="Z274" s="1">
        <v>0</v>
      </c>
      <c r="AG274" s="1">
        <f>P274-Q274</f>
        <v>-308298.59999999963</v>
      </c>
    </row>
    <row r="275" spans="1:34" ht="24.95" customHeight="1">
      <c r="A275" s="85">
        <v>16</v>
      </c>
      <c r="B275" s="18">
        <v>1829000110</v>
      </c>
      <c r="C275" s="117" t="str">
        <f t="shared" si="72"/>
        <v>110</v>
      </c>
      <c r="D275" s="117" t="str">
        <f t="shared" ref="D275:D288" si="76">MID(B275,2,6)</f>
        <v>829000</v>
      </c>
      <c r="E275" s="19" t="s">
        <v>413</v>
      </c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>
        <f>VLOOKUP(B:B,'[3]תשלומים 2017'!B:R,15,0)</f>
        <v>327000</v>
      </c>
      <c r="Q275" s="119">
        <f>VLOOKUP(B:B,'[3]דוח כספי 10.17 מעודכן'!A:D,4,0)</f>
        <v>186106.87</v>
      </c>
      <c r="R275" s="119">
        <f>VLOOKUP(B:B,'[3]תשלומים 2017'!B:T,17,0)</f>
        <v>260000</v>
      </c>
      <c r="S275" s="119">
        <f>Q275/9*12</f>
        <v>248142.49333333332</v>
      </c>
      <c r="T275" s="119">
        <v>308000</v>
      </c>
      <c r="U275" s="134">
        <v>1.5</v>
      </c>
      <c r="V275" s="134">
        <f>1.5+1.17</f>
        <v>2.67</v>
      </c>
      <c r="W275" s="97"/>
      <c r="X275" s="91"/>
      <c r="Y275" s="85"/>
      <c r="Z275" s="98"/>
      <c r="AA275" s="85"/>
      <c r="AB275" s="85"/>
      <c r="AC275" s="85"/>
      <c r="AD275" s="85"/>
      <c r="AE275" s="85"/>
      <c r="AF275" s="85"/>
      <c r="AG275"/>
    </row>
    <row r="276" spans="1:34" ht="24.95" customHeight="1">
      <c r="A276" s="85">
        <v>15</v>
      </c>
      <c r="B276" s="92">
        <v>1829000540</v>
      </c>
      <c r="C276" s="109" t="str">
        <f t="shared" si="72"/>
        <v>540</v>
      </c>
      <c r="D276" s="109" t="str">
        <f t="shared" si="76"/>
        <v>829000</v>
      </c>
      <c r="E276" s="93" t="s">
        <v>438</v>
      </c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>
        <f>VLOOKUP(B:B,'[3]תשלומים 2017'!B:R,15,0)</f>
        <v>0</v>
      </c>
      <c r="Q276" s="95">
        <f>VLOOKUP(B:B,'[3]דוח כספי 10.17 מעודכן'!A:D,4,0)</f>
        <v>0</v>
      </c>
      <c r="R276" s="95">
        <f>VLOOKUP(B:B,'[3]תשלומים 2017'!B:T,17,0)</f>
        <v>0</v>
      </c>
      <c r="S276" s="95">
        <f t="shared" ref="S276:S283" si="77">Q276/10*12</f>
        <v>0</v>
      </c>
      <c r="T276" s="95">
        <v>0</v>
      </c>
      <c r="U276" s="110"/>
      <c r="V276" s="110"/>
      <c r="W276" s="97"/>
      <c r="X276" s="91"/>
      <c r="Y276" s="85"/>
      <c r="Z276" s="98"/>
      <c r="AA276" s="85"/>
      <c r="AB276" s="85"/>
      <c r="AC276" s="85"/>
      <c r="AD276" s="85"/>
      <c r="AE276" s="85"/>
      <c r="AF276" s="85"/>
      <c r="AG276" s="83">
        <f t="shared" ref="AG276:AG283" si="78">P276-Q276</f>
        <v>0</v>
      </c>
      <c r="AH276">
        <v>0</v>
      </c>
    </row>
    <row r="277" spans="1:34" ht="24.95" customHeight="1">
      <c r="A277" s="85">
        <v>15</v>
      </c>
      <c r="B277" s="100">
        <v>1829100432</v>
      </c>
      <c r="C277" s="101" t="str">
        <f t="shared" si="72"/>
        <v>432</v>
      </c>
      <c r="D277" s="101" t="str">
        <f t="shared" si="76"/>
        <v>829100</v>
      </c>
      <c r="E277" s="102" t="s">
        <v>577</v>
      </c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>
        <f>VLOOKUP(B:B,'[3]תשלומים 2017'!B:R,15,0)</f>
        <v>0</v>
      </c>
      <c r="Q277" s="103">
        <f>VLOOKUP(B:B,'[3]דוח כספי 10.17 מעודכן'!A:D,4,0)</f>
        <v>133290.70000000001</v>
      </c>
      <c r="R277" s="103">
        <f>VLOOKUP(B:B,'[3]תשלומים 2017'!B:T,17,0)</f>
        <v>133500</v>
      </c>
      <c r="S277" s="103">
        <v>133291</v>
      </c>
      <c r="T277" s="103">
        <v>133500</v>
      </c>
      <c r="U277" s="110"/>
      <c r="V277" s="110"/>
      <c r="W277" s="97"/>
      <c r="X277" s="91"/>
      <c r="Y277" s="85"/>
      <c r="Z277" s="98"/>
      <c r="AA277" s="85"/>
      <c r="AB277" s="85"/>
      <c r="AC277" s="85"/>
      <c r="AD277" s="85"/>
      <c r="AE277" s="85"/>
      <c r="AF277" s="85"/>
      <c r="AG277" s="83">
        <f t="shared" si="78"/>
        <v>-133290.70000000001</v>
      </c>
    </row>
    <row r="278" spans="1:34" ht="24.95" customHeight="1">
      <c r="A278" s="85">
        <v>15</v>
      </c>
      <c r="B278" s="92">
        <v>1829100740</v>
      </c>
      <c r="C278" s="109" t="str">
        <f t="shared" si="72"/>
        <v>740</v>
      </c>
      <c r="D278" s="109" t="str">
        <f t="shared" si="76"/>
        <v>829100</v>
      </c>
      <c r="E278" s="93" t="s">
        <v>578</v>
      </c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>
        <f>VLOOKUP(B:B,'[3]תשלומים 2017'!B:R,15,0)</f>
        <v>0</v>
      </c>
      <c r="Q278" s="95">
        <f>VLOOKUP(B:B,'[3]דוח כספי 10.17 מעודכן'!A:D,4,0)</f>
        <v>0</v>
      </c>
      <c r="R278" s="95">
        <f>VLOOKUP(B:B,'[3]תשלומים 2017'!B:T,17,0)</f>
        <v>0</v>
      </c>
      <c r="S278" s="95">
        <f t="shared" si="77"/>
        <v>0</v>
      </c>
      <c r="T278" s="95">
        <v>0</v>
      </c>
      <c r="U278" s="110"/>
      <c r="V278" s="110"/>
      <c r="W278" s="97"/>
      <c r="X278" s="91"/>
      <c r="Y278" s="85"/>
      <c r="Z278" s="98"/>
      <c r="AA278" s="85"/>
      <c r="AB278" s="85"/>
      <c r="AC278" s="85"/>
      <c r="AD278" s="85"/>
      <c r="AE278" s="85"/>
      <c r="AF278" s="85"/>
      <c r="AG278" s="83">
        <f t="shared" si="78"/>
        <v>0</v>
      </c>
    </row>
    <row r="279" spans="1:34" ht="24.95" customHeight="1">
      <c r="A279" s="85">
        <v>15</v>
      </c>
      <c r="B279" s="92">
        <v>1829100750</v>
      </c>
      <c r="C279" s="109" t="str">
        <f t="shared" si="72"/>
        <v>750</v>
      </c>
      <c r="D279" s="109" t="str">
        <f t="shared" si="76"/>
        <v>829100</v>
      </c>
      <c r="E279" s="93" t="s">
        <v>579</v>
      </c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>
        <f>VLOOKUP(B:B,'[3]תשלומים 2017'!B:R,15,0)</f>
        <v>142000</v>
      </c>
      <c r="Q279" s="95">
        <f>VLOOKUP(B:B,'[3]דוח כספי 10.17 מעודכן'!A:D,4,0)</f>
        <v>87893</v>
      </c>
      <c r="R279" s="95">
        <f>VLOOKUP(B:B,'[3]תשלומים 2017'!B:T,17,0)</f>
        <v>133000</v>
      </c>
      <c r="S279" s="95">
        <f t="shared" si="77"/>
        <v>105471.59999999999</v>
      </c>
      <c r="T279" s="95">
        <v>133000</v>
      </c>
      <c r="U279" s="110"/>
      <c r="V279" s="110"/>
      <c r="W279" s="97"/>
      <c r="X279" s="91"/>
      <c r="Y279" s="85"/>
      <c r="Z279" s="98"/>
      <c r="AA279" s="85"/>
      <c r="AB279" s="85"/>
      <c r="AC279" s="85"/>
      <c r="AD279" s="85"/>
      <c r="AE279" s="85"/>
      <c r="AF279" s="85"/>
      <c r="AG279" s="83">
        <f t="shared" si="78"/>
        <v>54107</v>
      </c>
    </row>
    <row r="280" spans="1:34" ht="24.95" customHeight="1">
      <c r="A280" s="85">
        <v>15</v>
      </c>
      <c r="B280" s="92">
        <v>1829100780</v>
      </c>
      <c r="C280" s="109" t="str">
        <f t="shared" si="72"/>
        <v>780</v>
      </c>
      <c r="D280" s="109" t="str">
        <f t="shared" si="76"/>
        <v>829100</v>
      </c>
      <c r="E280" s="93" t="s">
        <v>580</v>
      </c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>
        <f>VLOOKUP(B:B,'[3]תשלומים 2017'!B:R,15,0)</f>
        <v>0</v>
      </c>
      <c r="Q280" s="95">
        <f>VLOOKUP(B:B,'[3]דוח כספי 10.17 מעודכן'!A:D,4,0)</f>
        <v>0</v>
      </c>
      <c r="R280" s="95">
        <f>VLOOKUP(B:B,'[3]תשלומים 2017'!B:T,17,0)</f>
        <v>0</v>
      </c>
      <c r="S280" s="95">
        <f t="shared" si="77"/>
        <v>0</v>
      </c>
      <c r="T280" s="95">
        <v>0</v>
      </c>
      <c r="U280" s="110"/>
      <c r="V280" s="110"/>
      <c r="W280" s="97"/>
      <c r="X280" s="91"/>
      <c r="Y280" s="85"/>
      <c r="Z280" s="98"/>
      <c r="AA280" s="85"/>
      <c r="AB280" s="85"/>
      <c r="AC280" s="85"/>
      <c r="AD280" s="85"/>
      <c r="AE280" s="85"/>
      <c r="AF280" s="85"/>
      <c r="AG280" s="83">
        <f t="shared" si="78"/>
        <v>0</v>
      </c>
    </row>
    <row r="281" spans="1:34" ht="24.95" customHeight="1">
      <c r="A281" s="85">
        <v>15</v>
      </c>
      <c r="B281" s="92">
        <v>1829100810</v>
      </c>
      <c r="C281" s="109" t="str">
        <f t="shared" si="72"/>
        <v>810</v>
      </c>
      <c r="D281" s="109" t="str">
        <f t="shared" si="76"/>
        <v>829100</v>
      </c>
      <c r="E281" s="93" t="s">
        <v>581</v>
      </c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>
        <f>VLOOKUP(B:B,'[3]תשלומים 2017'!B:R,15,0)</f>
        <v>300000</v>
      </c>
      <c r="Q281" s="95">
        <f>VLOOKUP(B:B,'[3]דוח כספי 10.17 מעודכן'!A:D,4,0)</f>
        <v>225000</v>
      </c>
      <c r="R281" s="95">
        <f>VLOOKUP(B:B,'[3]תשלומים 2017'!B:T,17,0)</f>
        <v>300000</v>
      </c>
      <c r="S281" s="95">
        <f t="shared" si="77"/>
        <v>270000</v>
      </c>
      <c r="T281" s="95">
        <v>300000</v>
      </c>
      <c r="U281" s="110"/>
      <c r="V281" s="110"/>
      <c r="W281" s="97"/>
      <c r="X281" s="91"/>
      <c r="Y281" s="85"/>
      <c r="Z281" s="98"/>
      <c r="AA281" s="85"/>
      <c r="AB281" s="85"/>
      <c r="AC281" s="85"/>
      <c r="AD281" s="85"/>
      <c r="AE281" s="85"/>
      <c r="AF281" s="85"/>
      <c r="AG281" s="83">
        <f t="shared" si="78"/>
        <v>75000</v>
      </c>
    </row>
    <row r="282" spans="1:34" ht="24.95" customHeight="1">
      <c r="A282" s="85">
        <v>15</v>
      </c>
      <c r="B282" s="92">
        <v>1829100910</v>
      </c>
      <c r="C282" s="109" t="str">
        <f t="shared" si="72"/>
        <v>910</v>
      </c>
      <c r="D282" s="109" t="str">
        <f t="shared" si="76"/>
        <v>829100</v>
      </c>
      <c r="E282" s="93" t="s">
        <v>582</v>
      </c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>
        <f>VLOOKUP(B:B,'[3]תשלומים 2017'!B:R,15,0)</f>
        <v>0</v>
      </c>
      <c r="Q282" s="95">
        <f>VLOOKUP(B:B,'[3]דוח כספי 10.17 מעודכן'!A:D,4,0)</f>
        <v>0</v>
      </c>
      <c r="R282" s="95">
        <f>VLOOKUP(B:B,'[3]תשלומים 2017'!B:T,17,0)</f>
        <v>0</v>
      </c>
      <c r="S282" s="95">
        <f t="shared" si="77"/>
        <v>0</v>
      </c>
      <c r="T282" s="95">
        <v>0</v>
      </c>
      <c r="U282" s="110"/>
      <c r="V282" s="110"/>
      <c r="W282" s="97"/>
      <c r="X282" s="91"/>
      <c r="Y282" s="85"/>
      <c r="Z282" s="98"/>
      <c r="AA282" s="85"/>
      <c r="AB282" s="85"/>
      <c r="AC282" s="85"/>
      <c r="AD282" s="85"/>
      <c r="AE282" s="85"/>
      <c r="AF282" s="85"/>
      <c r="AG282" s="83">
        <f t="shared" si="78"/>
        <v>0</v>
      </c>
      <c r="AH282">
        <v>0</v>
      </c>
    </row>
    <row r="283" spans="1:34" ht="24.95" customHeight="1">
      <c r="A283" s="85">
        <v>15</v>
      </c>
      <c r="B283" s="92">
        <v>1829100930</v>
      </c>
      <c r="C283" s="109" t="str">
        <f t="shared" si="72"/>
        <v>930</v>
      </c>
      <c r="D283" s="109" t="str">
        <f t="shared" si="76"/>
        <v>829100</v>
      </c>
      <c r="E283" s="93" t="s">
        <v>583</v>
      </c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>
        <f>VLOOKUP(B:B,'[3]תשלומים 2017'!B:R,15,0)</f>
        <v>40000</v>
      </c>
      <c r="Q283" s="95">
        <f>VLOOKUP(B:B,'[3]דוח כספי 10.17 מעודכן'!A:D,4,0)</f>
        <v>8661</v>
      </c>
      <c r="R283" s="95">
        <f>VLOOKUP(B:B,'[3]תשלומים 2017'!B:T,17,0)</f>
        <v>10000</v>
      </c>
      <c r="S283" s="95">
        <f t="shared" si="77"/>
        <v>10393.200000000001</v>
      </c>
      <c r="T283" s="95">
        <v>10000</v>
      </c>
      <c r="U283" s="110"/>
      <c r="V283" s="110"/>
      <c r="W283" s="97"/>
      <c r="X283" s="91"/>
      <c r="Y283" s="85"/>
      <c r="Z283" s="98"/>
      <c r="AA283" s="85"/>
      <c r="AB283" s="85"/>
      <c r="AC283" s="85"/>
      <c r="AD283" s="85"/>
      <c r="AE283" s="85"/>
      <c r="AF283" s="85"/>
      <c r="AG283" s="83">
        <f t="shared" si="78"/>
        <v>31339</v>
      </c>
    </row>
    <row r="284" spans="1:34" ht="24.95" customHeight="1">
      <c r="A284" s="85">
        <v>16</v>
      </c>
      <c r="B284" s="92">
        <v>1829200110</v>
      </c>
      <c r="C284" s="109" t="str">
        <f t="shared" si="72"/>
        <v>110</v>
      </c>
      <c r="D284" s="109" t="str">
        <f t="shared" si="76"/>
        <v>829200</v>
      </c>
      <c r="E284" s="93" t="s">
        <v>584</v>
      </c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>
        <f>VLOOKUP(B:B,'[3]תשלומים 2017'!B:R,15,0)</f>
        <v>0</v>
      </c>
      <c r="Q284" s="95">
        <f>VLOOKUP(B:B,'[3]דוח כספי 10.17 מעודכן'!A:D,4,0)</f>
        <v>0</v>
      </c>
      <c r="R284" s="95">
        <f>VLOOKUP(B:B,'[3]תשלומים 2017'!B:T,17,0)</f>
        <v>0</v>
      </c>
      <c r="S284" s="95">
        <f>Q284/9*12</f>
        <v>0</v>
      </c>
      <c r="T284" s="95">
        <v>0</v>
      </c>
      <c r="U284" s="96"/>
      <c r="V284" s="96"/>
      <c r="W284" s="97"/>
      <c r="X284" s="91"/>
      <c r="Y284" s="85"/>
      <c r="Z284" s="98"/>
      <c r="AA284" s="85"/>
      <c r="AB284" s="85"/>
      <c r="AC284" s="85"/>
      <c r="AD284" s="85"/>
      <c r="AE284" s="85"/>
      <c r="AF284" s="85"/>
      <c r="AG284"/>
    </row>
    <row r="285" spans="1:34" ht="24.95" customHeight="1">
      <c r="A285" s="85">
        <v>15</v>
      </c>
      <c r="B285" s="92">
        <v>1829200431</v>
      </c>
      <c r="C285" s="109" t="str">
        <f t="shared" si="72"/>
        <v>431</v>
      </c>
      <c r="D285" s="109" t="str">
        <f t="shared" si="76"/>
        <v>829200</v>
      </c>
      <c r="E285" s="93" t="s">
        <v>585</v>
      </c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>
        <f>VLOOKUP(B:B,'[3]תשלומים 2017'!B:R,15,0)</f>
        <v>6000</v>
      </c>
      <c r="Q285" s="95">
        <f>VLOOKUP(B:B,'[3]דוח כספי 10.17 מעודכן'!A:D,4,0)</f>
        <v>0</v>
      </c>
      <c r="R285" s="95">
        <f>VLOOKUP(B:B,'[3]תשלומים 2017'!B:T,17,0)</f>
        <v>0</v>
      </c>
      <c r="S285" s="95">
        <f>Q285/10*12</f>
        <v>0</v>
      </c>
      <c r="T285" s="95">
        <v>0</v>
      </c>
      <c r="U285" s="110"/>
      <c r="V285" s="110"/>
      <c r="W285" s="97"/>
      <c r="X285" s="91"/>
      <c r="Y285" s="85"/>
      <c r="Z285" s="98"/>
      <c r="AA285" s="85"/>
      <c r="AB285" s="85"/>
      <c r="AC285" s="85"/>
      <c r="AD285" s="85"/>
      <c r="AE285" s="85"/>
      <c r="AF285" s="85"/>
      <c r="AG285" s="83">
        <f t="shared" ref="AG285:AG291" si="79">P285-Q285</f>
        <v>6000</v>
      </c>
    </row>
    <row r="286" spans="1:34" ht="24.95" customHeight="1">
      <c r="A286" s="85">
        <v>15</v>
      </c>
      <c r="B286" s="92">
        <v>1829200521</v>
      </c>
      <c r="C286" s="109" t="str">
        <f t="shared" si="72"/>
        <v>521</v>
      </c>
      <c r="D286" s="109" t="str">
        <f t="shared" si="76"/>
        <v>829200</v>
      </c>
      <c r="E286" s="93" t="s">
        <v>586</v>
      </c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>
        <f>VLOOKUP(B:B,'[3]תשלומים 2017'!B:R,15,0)</f>
        <v>2000</v>
      </c>
      <c r="Q286" s="95">
        <f>VLOOKUP(B:B,'[3]דוח כספי 10.17 מעודכן'!A:D,4,0)</f>
        <v>0</v>
      </c>
      <c r="R286" s="95">
        <f>VLOOKUP(B:B,'[3]תשלומים 2017'!B:T,17,0)</f>
        <v>0</v>
      </c>
      <c r="S286" s="95">
        <f>Q286/10*12</f>
        <v>0</v>
      </c>
      <c r="T286" s="95">
        <v>0</v>
      </c>
      <c r="U286" s="110"/>
      <c r="V286" s="110"/>
      <c r="W286" s="97"/>
      <c r="X286" s="91"/>
      <c r="Y286" s="85"/>
      <c r="Z286" s="98"/>
      <c r="AA286" s="85"/>
      <c r="AB286" s="85"/>
      <c r="AC286" s="85"/>
      <c r="AD286" s="85"/>
      <c r="AE286" s="85"/>
      <c r="AF286" s="85"/>
      <c r="AG286" s="83">
        <f t="shared" si="79"/>
        <v>2000</v>
      </c>
    </row>
    <row r="287" spans="1:34" ht="24.95" customHeight="1">
      <c r="A287" s="85">
        <v>15</v>
      </c>
      <c r="B287" s="92">
        <v>1829300740</v>
      </c>
      <c r="C287" s="109" t="str">
        <f t="shared" si="72"/>
        <v>740</v>
      </c>
      <c r="D287" s="109" t="str">
        <f t="shared" si="76"/>
        <v>829300</v>
      </c>
      <c r="E287" s="93" t="s">
        <v>587</v>
      </c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>
        <f>VLOOKUP(B:B,'[3]תשלומים 2017'!B:R,15,0)</f>
        <v>0</v>
      </c>
      <c r="Q287" s="95">
        <f>VLOOKUP(B:B,'[3]דוח כספי 10.17 מעודכן'!A:D,4,0)</f>
        <v>0</v>
      </c>
      <c r="R287" s="95">
        <f>VLOOKUP(B:B,'[3]תשלומים 2017'!B:T,17,0)</f>
        <v>0</v>
      </c>
      <c r="S287" s="95">
        <f>Q287/10*12</f>
        <v>0</v>
      </c>
      <c r="T287" s="95">
        <v>10000</v>
      </c>
      <c r="U287" s="110"/>
      <c r="V287" s="110"/>
      <c r="W287" s="97"/>
      <c r="X287" s="91"/>
      <c r="Y287" s="85"/>
      <c r="Z287" s="98"/>
      <c r="AA287" s="85"/>
      <c r="AB287" s="85"/>
      <c r="AC287" s="85"/>
      <c r="AD287" s="85"/>
      <c r="AE287" s="85"/>
      <c r="AF287" s="85"/>
      <c r="AG287" s="83">
        <f t="shared" si="79"/>
        <v>0</v>
      </c>
    </row>
    <row r="288" spans="1:34" ht="24.95" customHeight="1">
      <c r="A288" s="85">
        <v>15</v>
      </c>
      <c r="B288" s="100">
        <v>1829300810</v>
      </c>
      <c r="C288" s="101" t="str">
        <f t="shared" si="72"/>
        <v>810</v>
      </c>
      <c r="D288" s="101" t="str">
        <f t="shared" si="76"/>
        <v>829300</v>
      </c>
      <c r="E288" s="102" t="s">
        <v>588</v>
      </c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>
        <f>VLOOKUP(B:B,'[3]תשלומים 2017'!B:R,15,0)</f>
        <v>24000</v>
      </c>
      <c r="Q288" s="103">
        <f>VLOOKUP(B:B,'[3]דוח כספי 10.17 מעודכן'!A:D,4,0)</f>
        <v>0</v>
      </c>
      <c r="R288" s="103">
        <f>VLOOKUP(B:B,'[3]תשלומים 2017'!B:T,17,0)</f>
        <v>0</v>
      </c>
      <c r="S288" s="103">
        <f>Q288/10*12</f>
        <v>0</v>
      </c>
      <c r="T288" s="103">
        <v>10000</v>
      </c>
      <c r="U288" s="110"/>
      <c r="V288" s="110"/>
      <c r="W288" s="97"/>
      <c r="X288" s="91"/>
      <c r="Y288" s="85"/>
      <c r="Z288" s="98"/>
      <c r="AA288" s="85"/>
      <c r="AB288" s="85"/>
      <c r="AC288" s="85"/>
      <c r="AD288" s="85"/>
      <c r="AE288" s="85"/>
      <c r="AF288" s="85"/>
      <c r="AG288" s="83">
        <f t="shared" si="79"/>
        <v>24000</v>
      </c>
    </row>
    <row r="289" spans="1:34" s="1" customFormat="1" ht="24.95" customHeight="1">
      <c r="B289" s="28"/>
      <c r="C289" s="29"/>
      <c r="D289" s="29"/>
      <c r="E289" s="29" t="s">
        <v>589</v>
      </c>
      <c r="F289" s="30" t="e">
        <f>SUM(#REF!)</f>
        <v>#REF!</v>
      </c>
      <c r="G289" s="30" t="e">
        <f>SUM(#REF!)</f>
        <v>#REF!</v>
      </c>
      <c r="H289" s="30" t="e">
        <f>SUM(#REF!)</f>
        <v>#REF!</v>
      </c>
      <c r="I289" s="30" t="e">
        <f>SUM(#REF!)</f>
        <v>#REF!</v>
      </c>
      <c r="J289" s="30" t="e">
        <f>SUM(#REF!)</f>
        <v>#REF!</v>
      </c>
      <c r="K289" s="30" t="e">
        <f>SUM(#REF!)</f>
        <v>#REF!</v>
      </c>
      <c r="L289" s="30" t="e">
        <f>SUM(#REF!)</f>
        <v>#REF!</v>
      </c>
      <c r="M289" s="30" t="e">
        <f>SUM(#REF!)</f>
        <v>#REF!</v>
      </c>
      <c r="N289" s="30" t="e">
        <f>SUM(#REF!)</f>
        <v>#REF!</v>
      </c>
      <c r="O289" s="30" t="e">
        <f>SUM(#REF!)</f>
        <v>#REF!</v>
      </c>
      <c r="P289" s="30">
        <f t="shared" ref="P289:V289" si="80">SUM(P275:P288)</f>
        <v>841000</v>
      </c>
      <c r="Q289" s="30">
        <f t="shared" si="80"/>
        <v>640951.57000000007</v>
      </c>
      <c r="R289" s="30">
        <f t="shared" si="80"/>
        <v>836500</v>
      </c>
      <c r="S289" s="30">
        <f t="shared" si="80"/>
        <v>767298.29333333322</v>
      </c>
      <c r="T289" s="30">
        <f t="shared" si="80"/>
        <v>904500</v>
      </c>
      <c r="U289" s="112">
        <f t="shared" si="80"/>
        <v>1.5</v>
      </c>
      <c r="V289" s="112">
        <f t="shared" si="80"/>
        <v>2.67</v>
      </c>
      <c r="W289" s="22"/>
      <c r="X289" s="23"/>
      <c r="Y289" s="5">
        <f>IF(ISBLANK(B289),1,--OR(L289&gt;1,M289&gt;1,N289&gt;1))</f>
        <v>1</v>
      </c>
      <c r="Z289" s="1">
        <v>0</v>
      </c>
      <c r="AG289" s="1">
        <f t="shared" si="79"/>
        <v>200048.42999999993</v>
      </c>
    </row>
    <row r="290" spans="1:34" s="1" customFormat="1" ht="24.95" customHeight="1">
      <c r="B290" s="32"/>
      <c r="C290" s="33"/>
      <c r="D290" s="33"/>
      <c r="E290" s="33" t="s">
        <v>249</v>
      </c>
      <c r="F290" s="34" t="e">
        <f t="shared" ref="F290:V290" si="81">F289+F274</f>
        <v>#REF!</v>
      </c>
      <c r="G290" s="34" t="e">
        <f t="shared" si="81"/>
        <v>#REF!</v>
      </c>
      <c r="H290" s="34" t="e">
        <f t="shared" si="81"/>
        <v>#REF!</v>
      </c>
      <c r="I290" s="34" t="e">
        <f t="shared" si="81"/>
        <v>#REF!</v>
      </c>
      <c r="J290" s="34" t="e">
        <f t="shared" si="81"/>
        <v>#REF!</v>
      </c>
      <c r="K290" s="34" t="e">
        <f t="shared" si="81"/>
        <v>#REF!</v>
      </c>
      <c r="L290" s="34" t="e">
        <f t="shared" si="81"/>
        <v>#REF!</v>
      </c>
      <c r="M290" s="34" t="e">
        <f t="shared" si="81"/>
        <v>#REF!</v>
      </c>
      <c r="N290" s="34" t="e">
        <f t="shared" si="81"/>
        <v>#REF!</v>
      </c>
      <c r="O290" s="34" t="e">
        <f t="shared" si="81"/>
        <v>#REF!</v>
      </c>
      <c r="P290" s="34">
        <f t="shared" si="81"/>
        <v>3267000</v>
      </c>
      <c r="Q290" s="34">
        <f t="shared" si="81"/>
        <v>3375250.17</v>
      </c>
      <c r="R290" s="34">
        <f t="shared" si="81"/>
        <v>4248500</v>
      </c>
      <c r="S290" s="34">
        <f t="shared" si="81"/>
        <v>4363174.990666667</v>
      </c>
      <c r="T290" s="34">
        <f t="shared" si="81"/>
        <v>4486500</v>
      </c>
      <c r="U290" s="123">
        <f t="shared" si="81"/>
        <v>15.040000000000001</v>
      </c>
      <c r="V290" s="123">
        <f t="shared" si="81"/>
        <v>21.72</v>
      </c>
      <c r="W290" s="22"/>
      <c r="X290" s="23"/>
      <c r="Y290" s="5">
        <f>IF(ISBLANK(B290),1,--OR(L290&gt;1,M290&gt;1,N290&gt;1))</f>
        <v>1</v>
      </c>
      <c r="Z290" s="1">
        <v>0</v>
      </c>
      <c r="AG290" s="1">
        <f t="shared" si="79"/>
        <v>-108250.16999999993</v>
      </c>
    </row>
    <row r="291" spans="1:34" ht="24.95" customHeight="1">
      <c r="A291" s="85"/>
      <c r="B291" s="86"/>
      <c r="C291" s="87" t="s">
        <v>250</v>
      </c>
      <c r="D291" s="87"/>
      <c r="E291" s="87"/>
      <c r="F291" s="87"/>
      <c r="G291" s="87"/>
      <c r="H291" s="87"/>
      <c r="I291" s="88"/>
      <c r="J291" s="95"/>
      <c r="K291" s="124"/>
      <c r="L291" s="124"/>
      <c r="M291" s="124"/>
      <c r="N291" s="124"/>
      <c r="O291" s="95">
        <v>0</v>
      </c>
      <c r="P291" s="95"/>
      <c r="Q291" s="95"/>
      <c r="R291" s="95"/>
      <c r="S291" s="95"/>
      <c r="T291" s="124"/>
      <c r="U291" s="89"/>
      <c r="V291" s="89"/>
      <c r="W291" s="90"/>
      <c r="X291" s="91"/>
      <c r="Y291" s="85">
        <f>IF(ISBLANK(B291),1,--OR(L291&gt;1,M291&gt;1,N291&gt;1))</f>
        <v>1</v>
      </c>
      <c r="Z291" s="98">
        <f>+Q291-N291</f>
        <v>0</v>
      </c>
      <c r="AA291" s="85"/>
      <c r="AB291" s="85"/>
      <c r="AC291" s="85"/>
      <c r="AD291" s="85"/>
      <c r="AE291" s="85"/>
      <c r="AF291" s="85"/>
      <c r="AG291" s="83">
        <f t="shared" si="79"/>
        <v>0</v>
      </c>
    </row>
    <row r="292" spans="1:34" ht="24.95" customHeight="1">
      <c r="A292" s="85">
        <v>16</v>
      </c>
      <c r="B292" s="92">
        <v>1832400110</v>
      </c>
      <c r="C292" s="109" t="str">
        <f t="shared" ref="C292:C300" si="82">MID(B292,8,3)</f>
        <v>110</v>
      </c>
      <c r="D292" s="109" t="str">
        <f t="shared" ref="D292:D300" si="83">MID(B292,2,6)</f>
        <v>832400</v>
      </c>
      <c r="E292" s="93" t="s">
        <v>590</v>
      </c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>
        <f>VLOOKUP(B:B,'[3]תשלומים 2017'!B:R,15,0)</f>
        <v>66000</v>
      </c>
      <c r="Q292" s="95">
        <f>VLOOKUP(B:B,'[3]דוח כספי 10.17 מעודכן'!A:D,4,0)</f>
        <v>51505.04</v>
      </c>
      <c r="R292" s="95">
        <f>VLOOKUP(B:B,'[3]תשלומים 2017'!B:T,17,0)</f>
        <v>69000</v>
      </c>
      <c r="S292" s="95">
        <f>Q292/9*12</f>
        <v>68673.386666666658</v>
      </c>
      <c r="T292" s="95">
        <v>71000</v>
      </c>
      <c r="U292" s="96">
        <v>0.6</v>
      </c>
      <c r="V292" s="96">
        <v>0.6</v>
      </c>
      <c r="W292" s="97"/>
      <c r="X292" s="91"/>
      <c r="Y292" s="85"/>
      <c r="Z292" s="98"/>
      <c r="AA292" s="85"/>
      <c r="AB292" s="85"/>
      <c r="AC292" s="85"/>
      <c r="AD292" s="85"/>
      <c r="AE292" s="85"/>
      <c r="AF292" s="85"/>
      <c r="AG292"/>
    </row>
    <row r="293" spans="1:34" ht="24.95" customHeight="1">
      <c r="A293" s="85">
        <v>15</v>
      </c>
      <c r="B293" s="92">
        <v>1832400420</v>
      </c>
      <c r="C293" s="109" t="str">
        <f t="shared" si="82"/>
        <v>420</v>
      </c>
      <c r="D293" s="109" t="str">
        <f t="shared" si="83"/>
        <v>832400</v>
      </c>
      <c r="E293" s="93" t="s">
        <v>591</v>
      </c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>
        <f>VLOOKUP(B:B,'[3]תשלומים 2017'!B:R,15,0)</f>
        <v>0</v>
      </c>
      <c r="Q293" s="95">
        <f>VLOOKUP(B:B,'[3]דוח כספי 10.17 מעודכן'!A:D,4,0)</f>
        <v>0</v>
      </c>
      <c r="R293" s="95">
        <f>VLOOKUP(B:B,'[3]תשלומים 2017'!B:T,17,0)</f>
        <v>0</v>
      </c>
      <c r="S293" s="95">
        <f t="shared" ref="S293:S300" si="84">Q293/10*12</f>
        <v>0</v>
      </c>
      <c r="T293" s="95">
        <v>0</v>
      </c>
      <c r="U293" s="110"/>
      <c r="V293" s="110"/>
      <c r="W293" s="97"/>
      <c r="X293" s="91"/>
      <c r="Y293" s="85"/>
      <c r="Z293" s="98"/>
      <c r="AA293" s="85"/>
      <c r="AB293" s="85"/>
      <c r="AC293" s="85"/>
      <c r="AD293" s="85"/>
      <c r="AE293" s="85"/>
      <c r="AF293" s="85"/>
      <c r="AG293" s="83">
        <f t="shared" ref="AG293:AG302" si="85">P293-Q293</f>
        <v>0</v>
      </c>
    </row>
    <row r="294" spans="1:34" ht="24.95" customHeight="1">
      <c r="A294" s="85">
        <v>15</v>
      </c>
      <c r="B294" s="92">
        <v>1832400431</v>
      </c>
      <c r="C294" s="109" t="str">
        <f t="shared" si="82"/>
        <v>431</v>
      </c>
      <c r="D294" s="109" t="str">
        <f t="shared" si="83"/>
        <v>832400</v>
      </c>
      <c r="E294" s="93" t="s">
        <v>592</v>
      </c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>
        <f>VLOOKUP(B:B,'[3]תשלומים 2017'!B:R,15,0)</f>
        <v>13000</v>
      </c>
      <c r="Q294" s="95">
        <f>VLOOKUP(B:B,'[3]דוח כספי 10.17 מעודכן'!A:D,4,0)</f>
        <v>5487.61</v>
      </c>
      <c r="R294" s="95">
        <f>VLOOKUP(B:B,'[3]תשלומים 2017'!B:T,17,0)</f>
        <v>7000</v>
      </c>
      <c r="S294" s="95">
        <f t="shared" si="84"/>
        <v>6585.1319999999996</v>
      </c>
      <c r="T294" s="95">
        <v>7000</v>
      </c>
      <c r="U294" s="110"/>
      <c r="V294" s="110"/>
      <c r="W294" s="97"/>
      <c r="X294" s="91"/>
      <c r="Y294" s="85"/>
      <c r="Z294" s="98"/>
      <c r="AA294" s="85"/>
      <c r="AB294" s="85"/>
      <c r="AC294" s="85"/>
      <c r="AD294" s="85"/>
      <c r="AE294" s="85"/>
      <c r="AF294" s="85"/>
      <c r="AG294" s="83">
        <f t="shared" si="85"/>
        <v>7512.39</v>
      </c>
    </row>
    <row r="295" spans="1:34" ht="24.95" customHeight="1">
      <c r="A295" s="85">
        <v>15</v>
      </c>
      <c r="B295" s="92">
        <v>1832400540</v>
      </c>
      <c r="C295" s="109" t="str">
        <f t="shared" si="82"/>
        <v>540</v>
      </c>
      <c r="D295" s="109" t="str">
        <f t="shared" si="83"/>
        <v>832400</v>
      </c>
      <c r="E295" s="93" t="s">
        <v>593</v>
      </c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>
        <f>VLOOKUP(B:B,'[3]תשלומים 2017'!B:R,15,0)</f>
        <v>0</v>
      </c>
      <c r="Q295" s="95">
        <f>VLOOKUP(B:B,'[3]דוח כספי 10.17 מעודכן'!A:D,4,0)</f>
        <v>6390.44</v>
      </c>
      <c r="R295" s="95">
        <f>VLOOKUP(B:B,'[3]תשלומים 2017'!B:T,17,0)</f>
        <v>8000</v>
      </c>
      <c r="S295" s="95">
        <f t="shared" si="84"/>
        <v>7668.5280000000002</v>
      </c>
      <c r="T295" s="95">
        <v>3000</v>
      </c>
      <c r="U295" s="110"/>
      <c r="V295" s="110"/>
      <c r="W295" s="97"/>
      <c r="X295" s="91"/>
      <c r="Y295" s="85"/>
      <c r="Z295" s="98"/>
      <c r="AA295" s="85"/>
      <c r="AB295" s="85"/>
      <c r="AC295" s="85"/>
      <c r="AD295" s="85"/>
      <c r="AE295" s="85"/>
      <c r="AF295" s="85"/>
      <c r="AG295" s="83">
        <f t="shared" si="85"/>
        <v>-6390.44</v>
      </c>
      <c r="AH295">
        <v>0</v>
      </c>
    </row>
    <row r="296" spans="1:34" ht="24.95" customHeight="1">
      <c r="A296" s="85">
        <v>15</v>
      </c>
      <c r="B296" s="92">
        <v>1832400780</v>
      </c>
      <c r="C296" s="109" t="str">
        <f t="shared" si="82"/>
        <v>780</v>
      </c>
      <c r="D296" s="109" t="str">
        <f t="shared" si="83"/>
        <v>832400</v>
      </c>
      <c r="E296" s="93" t="s">
        <v>594</v>
      </c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>
        <f>VLOOKUP(B:B,'[3]תשלומים 2017'!B:R,15,0)</f>
        <v>0</v>
      </c>
      <c r="Q296" s="95">
        <f>VLOOKUP(B:B,'[3]דוח כספי 10.17 מעודכן'!A:D,4,0)</f>
        <v>0</v>
      </c>
      <c r="R296" s="95">
        <f>VLOOKUP(B:B,'[3]תשלומים 2017'!B:T,17,0)</f>
        <v>0</v>
      </c>
      <c r="S296" s="95">
        <f t="shared" si="84"/>
        <v>0</v>
      </c>
      <c r="T296" s="95">
        <v>0</v>
      </c>
      <c r="U296" s="110"/>
      <c r="V296" s="110"/>
      <c r="W296" s="97"/>
      <c r="X296" s="91"/>
      <c r="Y296" s="85"/>
      <c r="Z296" s="98"/>
      <c r="AA296" s="85"/>
      <c r="AB296" s="85"/>
      <c r="AC296" s="85"/>
      <c r="AD296" s="85"/>
      <c r="AE296" s="85"/>
      <c r="AF296" s="85"/>
      <c r="AG296" s="83">
        <f t="shared" si="85"/>
        <v>0</v>
      </c>
    </row>
    <row r="297" spans="1:34" ht="24.95" customHeight="1">
      <c r="A297" s="85">
        <v>15</v>
      </c>
      <c r="B297" s="100">
        <v>1832400432</v>
      </c>
      <c r="C297" s="101">
        <v>432</v>
      </c>
      <c r="D297" s="101">
        <v>832400</v>
      </c>
      <c r="E297" s="102" t="s">
        <v>595</v>
      </c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>
        <v>0</v>
      </c>
      <c r="Q297" s="103">
        <v>0</v>
      </c>
      <c r="R297" s="103">
        <v>3000</v>
      </c>
      <c r="S297" s="103">
        <v>2665.9</v>
      </c>
      <c r="T297" s="103">
        <v>3000</v>
      </c>
      <c r="U297" s="104"/>
      <c r="V297" s="104"/>
      <c r="W297" s="97"/>
      <c r="X297" s="91"/>
      <c r="Y297" s="85"/>
      <c r="Z297" s="98"/>
      <c r="AA297" s="85"/>
      <c r="AB297" s="85"/>
      <c r="AC297" s="85"/>
      <c r="AD297" s="85"/>
      <c r="AE297" s="85"/>
      <c r="AF297" s="85"/>
    </row>
    <row r="298" spans="1:34" ht="24.95" customHeight="1">
      <c r="A298" s="85">
        <v>15</v>
      </c>
      <c r="B298" s="92">
        <v>1832400930</v>
      </c>
      <c r="C298" s="109" t="str">
        <f t="shared" si="82"/>
        <v>930</v>
      </c>
      <c r="D298" s="109" t="str">
        <f t="shared" si="83"/>
        <v>832400</v>
      </c>
      <c r="E298" s="93" t="s">
        <v>390</v>
      </c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>
        <f>VLOOKUP(B:B,'[3]תשלומים 2017'!B:R,15,0)</f>
        <v>0</v>
      </c>
      <c r="Q298" s="95">
        <f>VLOOKUP(B:B,'[3]דוח כספי 10.17 מעודכן'!A:D,4,0)</f>
        <v>0</v>
      </c>
      <c r="R298" s="95">
        <f>VLOOKUP(B:B,'[3]תשלומים 2017'!B:T,17,0)</f>
        <v>0</v>
      </c>
      <c r="S298" s="95">
        <f t="shared" si="84"/>
        <v>0</v>
      </c>
      <c r="T298" s="95">
        <v>0</v>
      </c>
      <c r="U298" s="110"/>
      <c r="V298" s="110"/>
      <c r="W298" s="97"/>
      <c r="X298" s="91"/>
      <c r="Y298" s="85"/>
      <c r="Z298" s="98"/>
      <c r="AA298" s="85"/>
      <c r="AB298" s="85"/>
      <c r="AC298" s="85"/>
      <c r="AD298" s="85"/>
      <c r="AE298" s="85"/>
      <c r="AF298" s="85"/>
      <c r="AG298" s="83">
        <f t="shared" si="85"/>
        <v>0</v>
      </c>
    </row>
    <row r="299" spans="1:34" ht="24.95" customHeight="1">
      <c r="A299" s="85">
        <v>15</v>
      </c>
      <c r="B299" s="92">
        <v>1832400950</v>
      </c>
      <c r="C299" s="109" t="str">
        <f t="shared" si="82"/>
        <v>950</v>
      </c>
      <c r="D299" s="109" t="str">
        <f t="shared" si="83"/>
        <v>832400</v>
      </c>
      <c r="E299" s="93" t="s">
        <v>596</v>
      </c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>
        <f>VLOOKUP(B:B,'[3]תשלומים 2017'!B:R,15,0)</f>
        <v>0</v>
      </c>
      <c r="Q299" s="95">
        <f>VLOOKUP(B:B,'[3]דוח כספי 10.17 מעודכן'!A:D,4,0)</f>
        <v>0</v>
      </c>
      <c r="R299" s="95">
        <f>VLOOKUP(B:B,'[3]תשלומים 2017'!B:T,17,0)</f>
        <v>0</v>
      </c>
      <c r="S299" s="95">
        <f t="shared" si="84"/>
        <v>0</v>
      </c>
      <c r="T299" s="95">
        <v>0</v>
      </c>
      <c r="U299" s="110"/>
      <c r="V299" s="110"/>
      <c r="W299" s="97"/>
      <c r="X299" s="91"/>
      <c r="Y299" s="85"/>
      <c r="Z299" s="98"/>
      <c r="AA299" s="85"/>
      <c r="AB299" s="85"/>
      <c r="AC299" s="85"/>
      <c r="AD299" s="85"/>
      <c r="AE299" s="85"/>
      <c r="AF299" s="85"/>
      <c r="AG299" s="83">
        <f t="shared" si="85"/>
        <v>0</v>
      </c>
    </row>
    <row r="300" spans="1:34" ht="24.95" customHeight="1">
      <c r="A300" s="85">
        <v>15</v>
      </c>
      <c r="B300" s="92">
        <v>1836200810</v>
      </c>
      <c r="C300" s="109" t="str">
        <f t="shared" si="82"/>
        <v>810</v>
      </c>
      <c r="D300" s="109" t="str">
        <f t="shared" si="83"/>
        <v>836200</v>
      </c>
      <c r="E300" s="93" t="s">
        <v>597</v>
      </c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>
        <f>VLOOKUP(B:B,'[3]תשלומים 2017'!B:R,15,0)</f>
        <v>34000</v>
      </c>
      <c r="Q300" s="95">
        <f>VLOOKUP(B:B,'[3]דוח כספי 10.17 מעודכן'!A:D,4,0)</f>
        <v>25900.5</v>
      </c>
      <c r="R300" s="95">
        <f>VLOOKUP(B:B,'[3]תשלומים 2017'!B:T,17,0)</f>
        <v>32000</v>
      </c>
      <c r="S300" s="95">
        <f t="shared" si="84"/>
        <v>31080.600000000002</v>
      </c>
      <c r="T300" s="95">
        <v>32000</v>
      </c>
      <c r="U300" s="110"/>
      <c r="V300" s="110"/>
      <c r="W300" s="97"/>
      <c r="X300" s="91"/>
      <c r="Y300" s="85"/>
      <c r="Z300" s="98"/>
      <c r="AA300" s="85"/>
      <c r="AB300" s="85"/>
      <c r="AC300" s="85"/>
      <c r="AD300" s="85"/>
      <c r="AE300" s="85"/>
      <c r="AF300" s="85"/>
      <c r="AG300" s="83">
        <f t="shared" si="85"/>
        <v>8099.5</v>
      </c>
    </row>
    <row r="301" spans="1:34" s="1" customFormat="1" ht="24.95" customHeight="1">
      <c r="B301" s="32"/>
      <c r="C301" s="33"/>
      <c r="D301" s="33"/>
      <c r="E301" s="33" t="s">
        <v>252</v>
      </c>
      <c r="F301" s="34" t="e">
        <f>SUM(#REF!)</f>
        <v>#REF!</v>
      </c>
      <c r="G301" s="34" t="e">
        <f>SUM(#REF!)</f>
        <v>#REF!</v>
      </c>
      <c r="H301" s="34" t="e">
        <f>SUM(#REF!)</f>
        <v>#REF!</v>
      </c>
      <c r="I301" s="34" t="e">
        <f>SUM(#REF!)</f>
        <v>#REF!</v>
      </c>
      <c r="J301" s="34" t="e">
        <f>SUM(#REF!)</f>
        <v>#REF!</v>
      </c>
      <c r="K301" s="34" t="e">
        <f>SUM(#REF!)</f>
        <v>#REF!</v>
      </c>
      <c r="L301" s="34" t="e">
        <f>SUM(#REF!)</f>
        <v>#REF!</v>
      </c>
      <c r="M301" s="34" t="e">
        <f>SUM(#REF!)</f>
        <v>#REF!</v>
      </c>
      <c r="N301" s="34" t="e">
        <f>SUM(#REF!)</f>
        <v>#REF!</v>
      </c>
      <c r="O301" s="34" t="e">
        <f>SUM(#REF!)</f>
        <v>#REF!</v>
      </c>
      <c r="P301" s="34">
        <f t="shared" ref="P301:V301" si="86">SUM(P292:P300)</f>
        <v>113000</v>
      </c>
      <c r="Q301" s="34">
        <f t="shared" si="86"/>
        <v>89283.59</v>
      </c>
      <c r="R301" s="34">
        <f t="shared" si="86"/>
        <v>119000</v>
      </c>
      <c r="S301" s="34">
        <f t="shared" si="86"/>
        <v>116673.54666666666</v>
      </c>
      <c r="T301" s="34">
        <f t="shared" si="86"/>
        <v>116000</v>
      </c>
      <c r="U301" s="123">
        <f t="shared" si="86"/>
        <v>0.6</v>
      </c>
      <c r="V301" s="123">
        <f t="shared" si="86"/>
        <v>0.6</v>
      </c>
      <c r="W301" s="22"/>
      <c r="X301" s="23"/>
      <c r="Y301" s="5">
        <f>IF(ISBLANK(B301),1,--OR(L301&gt;1,M301&gt;1,N301&gt;1))</f>
        <v>1</v>
      </c>
      <c r="Z301" s="1">
        <v>0</v>
      </c>
      <c r="AG301" s="1">
        <f t="shared" si="85"/>
        <v>23716.410000000003</v>
      </c>
    </row>
    <row r="302" spans="1:34" ht="24.95" customHeight="1">
      <c r="A302" s="85"/>
      <c r="B302" s="86"/>
      <c r="C302" s="87" t="s">
        <v>253</v>
      </c>
      <c r="D302" s="87"/>
      <c r="E302" s="87"/>
      <c r="F302" s="87"/>
      <c r="G302" s="87"/>
      <c r="H302" s="87"/>
      <c r="I302" s="88"/>
      <c r="J302" s="95"/>
      <c r="K302" s="124"/>
      <c r="L302" s="124"/>
      <c r="M302" s="124"/>
      <c r="N302" s="124"/>
      <c r="O302" s="95">
        <v>0</v>
      </c>
      <c r="P302" s="124"/>
      <c r="Q302" s="124"/>
      <c r="R302" s="124"/>
      <c r="S302" s="124"/>
      <c r="T302" s="124"/>
      <c r="U302" s="89"/>
      <c r="V302" s="89"/>
      <c r="W302" s="90"/>
      <c r="X302" s="91"/>
      <c r="Y302" s="85">
        <f>IF(ISBLANK(B302),1,--OR(L302&gt;1,M302&gt;1,N302&gt;1))</f>
        <v>1</v>
      </c>
      <c r="Z302" s="98">
        <f>+Q302-N302</f>
        <v>0</v>
      </c>
      <c r="AA302" s="85"/>
      <c r="AB302" s="85"/>
      <c r="AC302" s="85"/>
      <c r="AD302" s="85"/>
      <c r="AE302" s="85"/>
      <c r="AF302" s="85"/>
      <c r="AG302" s="83">
        <f t="shared" si="85"/>
        <v>0</v>
      </c>
    </row>
    <row r="303" spans="1:34" ht="24.95" customHeight="1">
      <c r="A303" s="85">
        <v>21</v>
      </c>
      <c r="B303" s="92">
        <v>1841000110</v>
      </c>
      <c r="C303" s="109" t="str">
        <f t="shared" ref="C303:C355" si="87">MID(B303,8,3)</f>
        <v>110</v>
      </c>
      <c r="D303" s="109" t="str">
        <f t="shared" ref="D303:D313" si="88">MID(B303,2,6)</f>
        <v>841000</v>
      </c>
      <c r="E303" s="93" t="s">
        <v>353</v>
      </c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>
        <f>VLOOKUP(B:B,'[3]תשלומים 2017'!B:R,15,0)</f>
        <v>0</v>
      </c>
      <c r="Q303" s="95">
        <f>VLOOKUP(B:B,'[3]דוח כספי 10.17 מעודכן'!A:D,4,0)</f>
        <v>0</v>
      </c>
      <c r="R303" s="95">
        <f>VLOOKUP(B:B,'[3]תשלומים 2017'!B:T,17,0)</f>
        <v>0</v>
      </c>
      <c r="S303" s="95">
        <f>Q303/9*12</f>
        <v>0</v>
      </c>
      <c r="T303" s="95">
        <v>0</v>
      </c>
      <c r="U303" s="96"/>
      <c r="V303" s="96"/>
      <c r="W303" s="97"/>
      <c r="X303" s="91"/>
      <c r="Y303" s="85"/>
      <c r="Z303" s="98"/>
      <c r="AA303" s="85"/>
      <c r="AB303" s="85"/>
      <c r="AC303" s="85"/>
      <c r="AD303" s="85"/>
      <c r="AE303" s="85"/>
      <c r="AF303" s="85"/>
      <c r="AG303"/>
    </row>
    <row r="304" spans="1:34" ht="24.95" customHeight="1">
      <c r="A304" s="85">
        <v>22</v>
      </c>
      <c r="B304" s="92">
        <v>1841000420</v>
      </c>
      <c r="C304" s="109" t="str">
        <f t="shared" si="87"/>
        <v>420</v>
      </c>
      <c r="D304" s="109" t="str">
        <f t="shared" si="88"/>
        <v>841000</v>
      </c>
      <c r="E304" s="93" t="s">
        <v>598</v>
      </c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>
        <f>VLOOKUP(B:B,'[3]תשלומים 2017'!B:R,15,0)</f>
        <v>14000</v>
      </c>
      <c r="Q304" s="95">
        <f>VLOOKUP(B:B,'[3]דוח כספי 10.17 מעודכן'!A:D,4,0)</f>
        <v>31474</v>
      </c>
      <c r="R304" s="95">
        <f>VLOOKUP(B:B,'[3]תשלומים 2017'!B:T,17,0)</f>
        <v>38000</v>
      </c>
      <c r="S304" s="95">
        <f t="shared" ref="S304:S313" si="89">Q304/10*12</f>
        <v>37768.800000000003</v>
      </c>
      <c r="T304" s="95">
        <v>38000</v>
      </c>
      <c r="U304" s="110"/>
      <c r="V304" s="110"/>
      <c r="W304" s="97"/>
      <c r="X304" s="91"/>
      <c r="Y304" s="85"/>
      <c r="Z304" s="98"/>
      <c r="AA304" s="85"/>
      <c r="AB304" s="85"/>
      <c r="AC304" s="85"/>
      <c r="AD304" s="85"/>
      <c r="AE304" s="85"/>
      <c r="AF304" s="85"/>
      <c r="AG304" s="83">
        <f t="shared" ref="AG304:AG314" si="90">P304-Q304</f>
        <v>-17474</v>
      </c>
    </row>
    <row r="305" spans="1:34" ht="24.95" customHeight="1">
      <c r="A305" s="85">
        <v>22</v>
      </c>
      <c r="B305" s="92">
        <v>1841000430</v>
      </c>
      <c r="C305" s="109" t="str">
        <f t="shared" si="87"/>
        <v>430</v>
      </c>
      <c r="D305" s="109" t="str">
        <f t="shared" si="88"/>
        <v>841000</v>
      </c>
      <c r="E305" s="93" t="s">
        <v>599</v>
      </c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>
        <f>VLOOKUP(B:B,'[3]תשלומים 2017'!B:R,15,0)</f>
        <v>43000</v>
      </c>
      <c r="Q305" s="95">
        <f>VLOOKUP(B:B,'[3]דוח כספי 10.17 מעודכן'!A:D,4,0)</f>
        <v>5000</v>
      </c>
      <c r="R305" s="95">
        <f>VLOOKUP(B:B,'[3]תשלומים 2017'!B:T,17,0)</f>
        <v>6000</v>
      </c>
      <c r="S305" s="95">
        <f t="shared" si="89"/>
        <v>6000</v>
      </c>
      <c r="T305" s="95">
        <v>6000</v>
      </c>
      <c r="U305" s="110"/>
      <c r="V305" s="110"/>
      <c r="W305" s="97"/>
      <c r="X305" s="91"/>
      <c r="Y305" s="85"/>
      <c r="Z305" s="98"/>
      <c r="AA305" s="85"/>
      <c r="AB305" s="85"/>
      <c r="AC305" s="85"/>
      <c r="AD305" s="85"/>
      <c r="AE305" s="85"/>
      <c r="AF305" s="85"/>
      <c r="AG305" s="83">
        <f t="shared" si="90"/>
        <v>38000</v>
      </c>
    </row>
    <row r="306" spans="1:34" ht="24.95" customHeight="1">
      <c r="A306" s="85">
        <v>22</v>
      </c>
      <c r="B306" s="92">
        <v>1841000521</v>
      </c>
      <c r="C306" s="109" t="str">
        <f t="shared" si="87"/>
        <v>521</v>
      </c>
      <c r="D306" s="109" t="str">
        <f t="shared" si="88"/>
        <v>841000</v>
      </c>
      <c r="E306" s="93" t="s">
        <v>600</v>
      </c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>
        <f>VLOOKUP(B:B,'[3]תשלומים 2017'!B:R,15,0)</f>
        <v>0</v>
      </c>
      <c r="Q306" s="95">
        <f>VLOOKUP(B:B,'[3]דוח כספי 10.17 מעודכן'!A:D,4,0)</f>
        <v>1700</v>
      </c>
      <c r="R306" s="95">
        <f>VLOOKUP(B:B,'[3]תשלומים 2017'!B:T,17,0)</f>
        <v>2000</v>
      </c>
      <c r="S306" s="95">
        <f t="shared" si="89"/>
        <v>2040</v>
      </c>
      <c r="T306" s="95">
        <v>2000</v>
      </c>
      <c r="U306" s="110"/>
      <c r="V306" s="110"/>
      <c r="W306" s="97"/>
      <c r="X306" s="91"/>
      <c r="Y306" s="85"/>
      <c r="Z306" s="98"/>
      <c r="AA306" s="85"/>
      <c r="AB306" s="85"/>
      <c r="AC306" s="85"/>
      <c r="AD306" s="85"/>
      <c r="AE306" s="85"/>
      <c r="AF306" s="85"/>
      <c r="AG306" s="83">
        <f t="shared" si="90"/>
        <v>-1700</v>
      </c>
    </row>
    <row r="307" spans="1:34" ht="24.95" customHeight="1">
      <c r="A307" s="85">
        <v>22</v>
      </c>
      <c r="B307" s="92">
        <v>1841000560</v>
      </c>
      <c r="C307" s="109" t="str">
        <f t="shared" si="87"/>
        <v>560</v>
      </c>
      <c r="D307" s="109" t="str">
        <f t="shared" si="88"/>
        <v>841000</v>
      </c>
      <c r="E307" s="93" t="s">
        <v>601</v>
      </c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>
        <f>VLOOKUP(B:B,'[3]תשלומים 2017'!B:R,15,0)</f>
        <v>9000</v>
      </c>
      <c r="Q307" s="95">
        <f>VLOOKUP(B:B,'[3]דוח כספי 10.17 מעודכן'!A:D,4,0)</f>
        <v>5425</v>
      </c>
      <c r="R307" s="95">
        <f>VLOOKUP(B:B,'[3]תשלומים 2017'!B:T,17,0)</f>
        <v>5000</v>
      </c>
      <c r="S307" s="95">
        <f t="shared" si="89"/>
        <v>6510</v>
      </c>
      <c r="T307" s="95">
        <v>5500</v>
      </c>
      <c r="U307" s="110"/>
      <c r="V307" s="110"/>
      <c r="W307" s="97"/>
      <c r="X307" s="91"/>
      <c r="Y307" s="85"/>
      <c r="Z307" s="98"/>
      <c r="AA307" s="85"/>
      <c r="AB307" s="85"/>
      <c r="AC307" s="85"/>
      <c r="AD307" s="85"/>
      <c r="AE307" s="85"/>
      <c r="AF307" s="85"/>
      <c r="AG307" s="83">
        <f t="shared" si="90"/>
        <v>3575</v>
      </c>
    </row>
    <row r="308" spans="1:34" ht="24.95" customHeight="1">
      <c r="A308" s="85">
        <v>22</v>
      </c>
      <c r="B308" s="92">
        <v>1841000750</v>
      </c>
      <c r="C308" s="109" t="str">
        <f t="shared" si="87"/>
        <v>750</v>
      </c>
      <c r="D308" s="109" t="str">
        <f t="shared" si="88"/>
        <v>841000</v>
      </c>
      <c r="E308" s="93" t="s">
        <v>602</v>
      </c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>
        <f>VLOOKUP(B:B,'[3]תשלומים 2017'!B:R,15,0)</f>
        <v>0</v>
      </c>
      <c r="Q308" s="95">
        <f>VLOOKUP(B:B,'[3]דוח כספי 10.17 מעודכן'!A:D,4,0)</f>
        <v>0</v>
      </c>
      <c r="R308" s="95">
        <f>VLOOKUP(B:B,'[3]תשלומים 2017'!B:T,17,0)</f>
        <v>0</v>
      </c>
      <c r="S308" s="95">
        <f t="shared" si="89"/>
        <v>0</v>
      </c>
      <c r="T308" s="95">
        <v>0</v>
      </c>
      <c r="U308" s="110"/>
      <c r="V308" s="110"/>
      <c r="W308" s="97"/>
      <c r="X308" s="91"/>
      <c r="Y308" s="85"/>
      <c r="Z308" s="98"/>
      <c r="AA308" s="85"/>
      <c r="AB308" s="85"/>
      <c r="AC308" s="85"/>
      <c r="AD308" s="85"/>
      <c r="AE308" s="85"/>
      <c r="AF308" s="85"/>
      <c r="AG308" s="83">
        <f t="shared" si="90"/>
        <v>0</v>
      </c>
    </row>
    <row r="309" spans="1:34" ht="24.95" customHeight="1">
      <c r="A309" s="85">
        <v>22</v>
      </c>
      <c r="B309" s="92">
        <v>1841000760</v>
      </c>
      <c r="C309" s="109" t="str">
        <f t="shared" si="87"/>
        <v>760</v>
      </c>
      <c r="D309" s="109" t="str">
        <f t="shared" si="88"/>
        <v>841000</v>
      </c>
      <c r="E309" s="93" t="s">
        <v>603</v>
      </c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>
        <f>VLOOKUP(B:B,'[3]תשלומים 2017'!B:R,15,0)</f>
        <v>38000</v>
      </c>
      <c r="Q309" s="95">
        <f>VLOOKUP(B:B,'[3]דוח כספי 10.17 מעודכן'!A:D,4,0)</f>
        <v>5000</v>
      </c>
      <c r="R309" s="95">
        <f>VLOOKUP(B:B,'[3]תשלומים 2017'!B:T,17,0)</f>
        <v>6000</v>
      </c>
      <c r="S309" s="95">
        <f t="shared" si="89"/>
        <v>6000</v>
      </c>
      <c r="T309" s="95">
        <v>1000</v>
      </c>
      <c r="U309" s="110"/>
      <c r="V309" s="110"/>
      <c r="W309" s="97"/>
      <c r="X309" s="91"/>
      <c r="Y309" s="85"/>
      <c r="Z309" s="98"/>
      <c r="AA309" s="85"/>
      <c r="AB309" s="85"/>
      <c r="AC309" s="85"/>
      <c r="AD309" s="85"/>
      <c r="AE309" s="85"/>
      <c r="AF309" s="85"/>
      <c r="AG309" s="83">
        <f t="shared" si="90"/>
        <v>33000</v>
      </c>
    </row>
    <row r="310" spans="1:34" ht="24.95" customHeight="1">
      <c r="A310" s="85">
        <v>22</v>
      </c>
      <c r="B310" s="92">
        <v>1841000770</v>
      </c>
      <c r="C310" s="109" t="str">
        <f t="shared" si="87"/>
        <v>770</v>
      </c>
      <c r="D310" s="109" t="str">
        <f t="shared" si="88"/>
        <v>841000</v>
      </c>
      <c r="E310" s="93" t="s">
        <v>604</v>
      </c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>
        <f>VLOOKUP(B:B,'[3]תשלומים 2017'!B:R,15,0)</f>
        <v>32000</v>
      </c>
      <c r="Q310" s="95">
        <f>VLOOKUP(B:B,'[3]דוח כספי 10.17 מעודכן'!A:D,4,0)</f>
        <v>39646</v>
      </c>
      <c r="R310" s="95">
        <f>VLOOKUP(B:B,'[3]תשלומים 2017'!B:T,17,0)</f>
        <v>48000</v>
      </c>
      <c r="S310" s="95">
        <f t="shared" si="89"/>
        <v>47575.199999999997</v>
      </c>
      <c r="T310" s="95">
        <v>48000</v>
      </c>
      <c r="U310" s="110"/>
      <c r="V310" s="110"/>
      <c r="W310" s="97"/>
      <c r="X310" s="91"/>
      <c r="Y310" s="85"/>
      <c r="Z310" s="98"/>
      <c r="AA310" s="85"/>
      <c r="AB310" s="85"/>
      <c r="AC310" s="85"/>
      <c r="AD310" s="85"/>
      <c r="AE310" s="85"/>
      <c r="AF310" s="85"/>
      <c r="AG310" s="83">
        <f t="shared" si="90"/>
        <v>-7646</v>
      </c>
      <c r="AH310">
        <v>0</v>
      </c>
    </row>
    <row r="311" spans="1:34" ht="24.95" customHeight="1">
      <c r="A311" s="85">
        <v>22</v>
      </c>
      <c r="B311" s="92">
        <v>1841000780</v>
      </c>
      <c r="C311" s="109" t="str">
        <f t="shared" si="87"/>
        <v>780</v>
      </c>
      <c r="D311" s="109" t="str">
        <f t="shared" si="88"/>
        <v>841000</v>
      </c>
      <c r="E311" s="93" t="s">
        <v>565</v>
      </c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>
        <f>VLOOKUP(B:B,'[3]תשלומים 2017'!B:R,15,0)</f>
        <v>0</v>
      </c>
      <c r="Q311" s="95">
        <f>VLOOKUP(B:B,'[3]דוח כספי 10.17 מעודכן'!A:D,4,0)</f>
        <v>0</v>
      </c>
      <c r="R311" s="95">
        <f>VLOOKUP(B:B,'[3]תשלומים 2017'!B:T,17,0)</f>
        <v>0</v>
      </c>
      <c r="S311" s="95">
        <f t="shared" si="89"/>
        <v>0</v>
      </c>
      <c r="T311" s="95">
        <v>0</v>
      </c>
      <c r="U311" s="110"/>
      <c r="V311" s="110"/>
      <c r="W311" s="97"/>
      <c r="X311" s="91"/>
      <c r="Y311" s="85"/>
      <c r="Z311" s="98"/>
      <c r="AA311" s="85"/>
      <c r="AB311" s="85"/>
      <c r="AC311" s="85"/>
      <c r="AD311" s="85"/>
      <c r="AE311" s="85"/>
      <c r="AF311" s="85"/>
      <c r="AG311" s="83">
        <f t="shared" si="90"/>
        <v>0</v>
      </c>
    </row>
    <row r="312" spans="1:34" ht="24.95" customHeight="1">
      <c r="A312" s="85">
        <v>22</v>
      </c>
      <c r="B312" s="92">
        <v>1841100810</v>
      </c>
      <c r="C312" s="109" t="str">
        <f t="shared" si="87"/>
        <v>810</v>
      </c>
      <c r="D312" s="109" t="str">
        <f t="shared" si="88"/>
        <v>841100</v>
      </c>
      <c r="E312" s="93" t="s">
        <v>605</v>
      </c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>
        <f>VLOOKUP(B:B,'[3]תשלומים 2017'!B:R,15,0)</f>
        <v>0</v>
      </c>
      <c r="Q312" s="95">
        <f>VLOOKUP(B:B,'[3]דוח כספי 10.17 מעודכן'!A:D,4,0)</f>
        <v>0</v>
      </c>
      <c r="R312" s="95">
        <f>VLOOKUP(B:B,'[3]תשלומים 2017'!B:T,17,0)</f>
        <v>0</v>
      </c>
      <c r="S312" s="95">
        <f t="shared" si="89"/>
        <v>0</v>
      </c>
      <c r="T312" s="95">
        <v>0</v>
      </c>
      <c r="U312" s="110"/>
      <c r="V312" s="110"/>
      <c r="W312" s="97"/>
      <c r="X312" s="91"/>
      <c r="Y312" s="85"/>
      <c r="Z312" s="98"/>
      <c r="AA312" s="85"/>
      <c r="AB312" s="85"/>
      <c r="AC312" s="85"/>
      <c r="AD312" s="85"/>
      <c r="AE312" s="85"/>
      <c r="AF312" s="85"/>
      <c r="AG312" s="83">
        <f t="shared" si="90"/>
        <v>0</v>
      </c>
    </row>
    <row r="313" spans="1:34" ht="24.95" customHeight="1">
      <c r="A313" s="85">
        <v>22</v>
      </c>
      <c r="B313" s="92">
        <v>1841200810</v>
      </c>
      <c r="C313" s="109" t="str">
        <f t="shared" si="87"/>
        <v>810</v>
      </c>
      <c r="D313" s="109" t="str">
        <f t="shared" si="88"/>
        <v>841200</v>
      </c>
      <c r="E313" s="93" t="s">
        <v>606</v>
      </c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>
        <f>VLOOKUP(B:B,'[3]תשלומים 2017'!B:R,15,0)</f>
        <v>81000</v>
      </c>
      <c r="Q313" s="95">
        <f>VLOOKUP(B:B,'[3]דוח כספי 10.17 מעודכן'!A:D,4,0)</f>
        <v>26442</v>
      </c>
      <c r="R313" s="95">
        <f>VLOOKUP(B:B,'[3]תשלומים 2017'!B:T,17,0)</f>
        <v>35000</v>
      </c>
      <c r="S313" s="95">
        <f t="shared" si="89"/>
        <v>31730.399999999998</v>
      </c>
      <c r="T313" s="95">
        <v>30000</v>
      </c>
      <c r="U313" s="110"/>
      <c r="V313" s="110"/>
      <c r="W313" s="97"/>
      <c r="X313" s="91"/>
      <c r="Y313" s="85"/>
      <c r="Z313" s="98"/>
      <c r="AA313" s="85"/>
      <c r="AB313" s="85"/>
      <c r="AC313" s="85"/>
      <c r="AD313" s="85"/>
      <c r="AE313" s="85"/>
      <c r="AF313" s="85"/>
      <c r="AG313" s="83">
        <f t="shared" si="90"/>
        <v>54558</v>
      </c>
    </row>
    <row r="314" spans="1:34" s="1" customFormat="1" ht="24.95" customHeight="1">
      <c r="B314" s="28"/>
      <c r="C314" s="29"/>
      <c r="D314" s="29"/>
      <c r="E314" s="29" t="s">
        <v>257</v>
      </c>
      <c r="F314" s="30" t="e">
        <f>SUM(#REF!)</f>
        <v>#REF!</v>
      </c>
      <c r="G314" s="30" t="e">
        <f>SUM(#REF!)</f>
        <v>#REF!</v>
      </c>
      <c r="H314" s="30" t="e">
        <f>SUM(#REF!)</f>
        <v>#REF!</v>
      </c>
      <c r="I314" s="30" t="e">
        <f>SUM(#REF!)</f>
        <v>#REF!</v>
      </c>
      <c r="J314" s="30" t="e">
        <f>SUM(#REF!)</f>
        <v>#REF!</v>
      </c>
      <c r="K314" s="30" t="e">
        <f>SUM(#REF!)</f>
        <v>#REF!</v>
      </c>
      <c r="L314" s="30" t="e">
        <f>SUM(#REF!)</f>
        <v>#REF!</v>
      </c>
      <c r="M314" s="30" t="e">
        <f>SUM(#REF!)</f>
        <v>#REF!</v>
      </c>
      <c r="N314" s="30" t="e">
        <f>SUM(#REF!)</f>
        <v>#REF!</v>
      </c>
      <c r="O314" s="30" t="e">
        <f>SUM(#REF!)</f>
        <v>#REF!</v>
      </c>
      <c r="P314" s="30">
        <f t="shared" ref="P314:S314" si="91">SUM(P303:P313)</f>
        <v>217000</v>
      </c>
      <c r="Q314" s="30">
        <f t="shared" si="91"/>
        <v>114687</v>
      </c>
      <c r="R314" s="30">
        <f t="shared" si="91"/>
        <v>140000</v>
      </c>
      <c r="S314" s="30">
        <f t="shared" si="91"/>
        <v>137624.4</v>
      </c>
      <c r="T314" s="30">
        <f>SUM(T303:T313)</f>
        <v>130500</v>
      </c>
      <c r="U314" s="112"/>
      <c r="V314" s="112">
        <f t="shared" ref="V314" si="92">SUM(V304:V313)</f>
        <v>0</v>
      </c>
      <c r="W314" s="22"/>
      <c r="X314" s="23"/>
      <c r="Y314" s="5">
        <f>IF(ISBLANK(B314),1,--OR(L314&gt;1,M314&gt;1,N314&gt;1))</f>
        <v>1</v>
      </c>
      <c r="Z314" s="1">
        <v>0</v>
      </c>
      <c r="AG314" s="1">
        <f t="shared" si="90"/>
        <v>102313</v>
      </c>
    </row>
    <row r="315" spans="1:34" ht="24.95" customHeight="1">
      <c r="A315" s="85">
        <v>21</v>
      </c>
      <c r="B315" s="92">
        <v>1842000110</v>
      </c>
      <c r="C315" s="109" t="str">
        <f t="shared" si="87"/>
        <v>110</v>
      </c>
      <c r="D315" s="109" t="str">
        <f t="shared" ref="D315:D326" si="93">MID(B315,2,6)</f>
        <v>842000</v>
      </c>
      <c r="E315" s="93" t="s">
        <v>607</v>
      </c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>
        <f>VLOOKUP(B:B,'[3]תשלומים 2017'!B:R,15,0)</f>
        <v>1776000</v>
      </c>
      <c r="Q315" s="95">
        <f>VLOOKUP(B:B,'[3]דוח כספי 10.17 מעודכן'!A:D,4,0)</f>
        <v>1462389.21</v>
      </c>
      <c r="R315" s="95">
        <v>2050000</v>
      </c>
      <c r="S315" s="95">
        <f>Q315/9*12</f>
        <v>1949852.28</v>
      </c>
      <c r="T315" s="95">
        <v>2074000</v>
      </c>
      <c r="U315" s="96">
        <v>11.25</v>
      </c>
      <c r="V315" s="96">
        <v>11.25</v>
      </c>
      <c r="W315" s="97"/>
      <c r="X315" s="91"/>
      <c r="Y315" s="85"/>
      <c r="Z315" s="98"/>
      <c r="AA315" s="85"/>
      <c r="AB315" s="85"/>
      <c r="AC315" s="85"/>
      <c r="AD315" s="85"/>
      <c r="AE315" s="85"/>
      <c r="AF315" s="85"/>
      <c r="AG315"/>
    </row>
    <row r="316" spans="1:34" ht="24.95" customHeight="1">
      <c r="A316" s="85">
        <v>22</v>
      </c>
      <c r="B316" s="92">
        <v>1842000540</v>
      </c>
      <c r="C316" s="109" t="str">
        <f t="shared" si="87"/>
        <v>540</v>
      </c>
      <c r="D316" s="109" t="str">
        <f t="shared" si="93"/>
        <v>842000</v>
      </c>
      <c r="E316" s="93" t="s">
        <v>608</v>
      </c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>
        <f>VLOOKUP(B:B,'[3]תשלומים 2017'!B:R,15,0)</f>
        <v>14000</v>
      </c>
      <c r="Q316" s="95">
        <f>VLOOKUP(B:B,'[3]דוח כספי 10.17 מעודכן'!A:D,4,0)</f>
        <v>11076.94</v>
      </c>
      <c r="R316" s="95">
        <f>VLOOKUP(B:B,'[3]תשלומים 2017'!B:T,17,0)</f>
        <v>14000</v>
      </c>
      <c r="S316" s="95">
        <f t="shared" ref="S316:S326" si="94">Q316/10*12</f>
        <v>13292.328</v>
      </c>
      <c r="T316" s="95">
        <v>14000</v>
      </c>
      <c r="U316" s="110"/>
      <c r="V316" s="110"/>
      <c r="W316" s="97"/>
      <c r="X316" s="91"/>
      <c r="Y316" s="85"/>
      <c r="Z316" s="98"/>
      <c r="AA316" s="85"/>
      <c r="AB316" s="85"/>
      <c r="AC316" s="85"/>
      <c r="AD316" s="85"/>
      <c r="AE316" s="85"/>
      <c r="AF316" s="85"/>
      <c r="AG316" s="83">
        <f t="shared" ref="AG316:AG333" si="95">P316-Q316</f>
        <v>2923.0599999999995</v>
      </c>
    </row>
    <row r="317" spans="1:34" ht="24.95" customHeight="1">
      <c r="A317" s="85">
        <v>22</v>
      </c>
      <c r="B317" s="92">
        <v>1842200840</v>
      </c>
      <c r="C317" s="109" t="str">
        <f t="shared" si="87"/>
        <v>840</v>
      </c>
      <c r="D317" s="109" t="str">
        <f t="shared" si="93"/>
        <v>842200</v>
      </c>
      <c r="E317" s="93" t="s">
        <v>609</v>
      </c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>
        <f>VLOOKUP(B:B,'[3]תשלומים 2017'!B:R,15,0)</f>
        <v>157000</v>
      </c>
      <c r="Q317" s="95">
        <f>VLOOKUP(B:B,'[3]דוח כספי 10.17 מעודכן'!A:D,4,0)</f>
        <v>213260</v>
      </c>
      <c r="R317" s="95">
        <f>VLOOKUP(B:B,'[3]תשלומים 2017'!B:T,17,0)</f>
        <v>256000</v>
      </c>
      <c r="S317" s="95">
        <f t="shared" si="94"/>
        <v>255912</v>
      </c>
      <c r="T317" s="95">
        <v>256000</v>
      </c>
      <c r="U317" s="110"/>
      <c r="V317" s="110"/>
      <c r="W317" s="97"/>
      <c r="X317" s="91"/>
      <c r="Y317" s="85"/>
      <c r="Z317" s="98"/>
      <c r="AA317" s="85"/>
      <c r="AB317" s="85"/>
      <c r="AC317" s="85"/>
      <c r="AD317" s="85"/>
      <c r="AE317" s="85"/>
      <c r="AF317" s="85"/>
      <c r="AG317" s="83">
        <f t="shared" si="95"/>
        <v>-56260</v>
      </c>
    </row>
    <row r="318" spans="1:34" ht="24.95" customHeight="1">
      <c r="A318" s="85">
        <v>22</v>
      </c>
      <c r="B318" s="92">
        <v>1842210810</v>
      </c>
      <c r="C318" s="109" t="str">
        <f t="shared" si="87"/>
        <v>810</v>
      </c>
      <c r="D318" s="109" t="str">
        <f t="shared" si="93"/>
        <v>842210</v>
      </c>
      <c r="E318" s="93" t="s">
        <v>610</v>
      </c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>
        <f>VLOOKUP(B:B,'[3]תשלומים 2017'!B:R,15,0)</f>
        <v>0</v>
      </c>
      <c r="Q318" s="95">
        <f>VLOOKUP(B:B,'[3]דוח כספי 10.17 מעודכן'!A:D,4,0)</f>
        <v>0</v>
      </c>
      <c r="R318" s="95">
        <f>VLOOKUP(B:B,'[3]תשלומים 2017'!B:T,17,0)</f>
        <v>0</v>
      </c>
      <c r="S318" s="95">
        <f t="shared" si="94"/>
        <v>0</v>
      </c>
      <c r="T318" s="95"/>
      <c r="U318" s="110"/>
      <c r="V318" s="110"/>
      <c r="W318" s="97"/>
      <c r="X318" s="91"/>
      <c r="Y318" s="85"/>
      <c r="Z318" s="98"/>
      <c r="AA318" s="85"/>
      <c r="AB318" s="85"/>
      <c r="AC318" s="85"/>
      <c r="AD318" s="85"/>
      <c r="AE318" s="85"/>
      <c r="AF318" s="85"/>
      <c r="AG318" s="83">
        <f t="shared" si="95"/>
        <v>0</v>
      </c>
    </row>
    <row r="319" spans="1:34" ht="24.95" customHeight="1">
      <c r="A319" s="85">
        <v>22</v>
      </c>
      <c r="B319" s="92">
        <v>1842210840</v>
      </c>
      <c r="C319" s="109" t="str">
        <f t="shared" si="87"/>
        <v>840</v>
      </c>
      <c r="D319" s="109" t="str">
        <f t="shared" si="93"/>
        <v>842210</v>
      </c>
      <c r="E319" s="93" t="s">
        <v>261</v>
      </c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>
        <f>VLOOKUP(B:B,'[3]תשלומים 2017'!B:R,15,0)</f>
        <v>292000</v>
      </c>
      <c r="Q319" s="95">
        <f>VLOOKUP(B:B,'[3]דוח כספי 10.17 מעודכן'!A:D,4,0)</f>
        <v>253802</v>
      </c>
      <c r="R319" s="95">
        <f>VLOOKUP(B:B,'[3]תשלומים 2017'!B:T,17,0)</f>
        <v>305000</v>
      </c>
      <c r="S319" s="95">
        <f t="shared" si="94"/>
        <v>304562.40000000002</v>
      </c>
      <c r="T319" s="95">
        <v>305000</v>
      </c>
      <c r="U319" s="110"/>
      <c r="V319" s="110"/>
      <c r="W319" s="97"/>
      <c r="X319" s="91"/>
      <c r="Y319" s="85"/>
      <c r="Z319" s="98"/>
      <c r="AA319" s="85"/>
      <c r="AB319" s="85"/>
      <c r="AC319" s="85"/>
      <c r="AD319" s="85"/>
      <c r="AE319" s="85"/>
      <c r="AF319" s="85"/>
      <c r="AG319" s="83">
        <f t="shared" si="95"/>
        <v>38198</v>
      </c>
    </row>
    <row r="320" spans="1:34" ht="24.95" customHeight="1">
      <c r="A320" s="85">
        <v>22</v>
      </c>
      <c r="B320" s="92">
        <v>1842220810</v>
      </c>
      <c r="C320" s="109" t="str">
        <f t="shared" si="87"/>
        <v>810</v>
      </c>
      <c r="D320" s="109" t="str">
        <f t="shared" si="93"/>
        <v>842220</v>
      </c>
      <c r="E320" s="93" t="s">
        <v>266</v>
      </c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>
        <f>VLOOKUP(B:B,'[3]תשלומים 2017'!B:R,15,0)</f>
        <v>346000</v>
      </c>
      <c r="Q320" s="95">
        <f>VLOOKUP(B:B,'[3]דוח כספי 10.17 מעודכן'!A:D,4,0)</f>
        <v>302900</v>
      </c>
      <c r="R320" s="95">
        <f>VLOOKUP(B:B,'[3]תשלומים 2017'!B:T,17,0)</f>
        <v>364000</v>
      </c>
      <c r="S320" s="95">
        <f t="shared" si="94"/>
        <v>363480</v>
      </c>
      <c r="T320" s="95">
        <v>363000</v>
      </c>
      <c r="U320" s="110"/>
      <c r="V320" s="110"/>
      <c r="W320" s="97"/>
      <c r="X320" s="91"/>
      <c r="Y320" s="85"/>
      <c r="Z320" s="98"/>
      <c r="AA320" s="85"/>
      <c r="AB320" s="85"/>
      <c r="AC320" s="85"/>
      <c r="AD320" s="85"/>
      <c r="AE320" s="85"/>
      <c r="AF320" s="85"/>
      <c r="AG320" s="83">
        <f t="shared" si="95"/>
        <v>43100</v>
      </c>
    </row>
    <row r="321" spans="1:34" ht="24.95" customHeight="1">
      <c r="A321" s="85">
        <v>22</v>
      </c>
      <c r="B321" s="92">
        <v>1842222510</v>
      </c>
      <c r="C321" s="109" t="str">
        <f t="shared" si="87"/>
        <v>510</v>
      </c>
      <c r="D321" s="109" t="str">
        <f t="shared" si="93"/>
        <v>842222</v>
      </c>
      <c r="E321" s="93" t="s">
        <v>267</v>
      </c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>
        <f>VLOOKUP(B:B,'[3]תשלומים 2017'!B:R,15,0)</f>
        <v>0</v>
      </c>
      <c r="Q321" s="95">
        <f>VLOOKUP(B:B,'[3]דוח כספי 10.17 מעודכן'!A:D,4,0)</f>
        <v>702</v>
      </c>
      <c r="R321" s="95">
        <f>VLOOKUP(B:B,'[3]תשלומים 2017'!B:T,17,0)</f>
        <v>1000</v>
      </c>
      <c r="S321" s="95">
        <f t="shared" si="94"/>
        <v>842.40000000000009</v>
      </c>
      <c r="T321" s="95">
        <v>1000</v>
      </c>
      <c r="U321" s="110"/>
      <c r="V321" s="110"/>
      <c r="W321" s="97"/>
      <c r="X321" s="91"/>
      <c r="Y321" s="85"/>
      <c r="Z321" s="98"/>
      <c r="AA321" s="85"/>
      <c r="AB321" s="85"/>
      <c r="AC321" s="85"/>
      <c r="AD321" s="85"/>
      <c r="AE321" s="85"/>
      <c r="AF321" s="85"/>
      <c r="AG321" s="83">
        <f t="shared" si="95"/>
        <v>-702</v>
      </c>
    </row>
    <row r="322" spans="1:34" ht="24.95" customHeight="1">
      <c r="A322" s="85">
        <v>22</v>
      </c>
      <c r="B322" s="92">
        <v>1842222930</v>
      </c>
      <c r="C322" s="109" t="str">
        <f t="shared" si="87"/>
        <v>930</v>
      </c>
      <c r="D322" s="109" t="str">
        <f t="shared" si="93"/>
        <v>842222</v>
      </c>
      <c r="E322" s="93" t="s">
        <v>267</v>
      </c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>
        <f>VLOOKUP(B:B,'[3]תשלומים 2017'!B:R,15,0)</f>
        <v>0</v>
      </c>
      <c r="Q322" s="95">
        <f>VLOOKUP(B:B,'[3]דוח כספי 10.17 מעודכן'!A:D,4,0)</f>
        <v>0</v>
      </c>
      <c r="R322" s="95">
        <f>VLOOKUP(B:B,'[3]תשלומים 2017'!B:T,17,0)</f>
        <v>0</v>
      </c>
      <c r="S322" s="95">
        <f t="shared" si="94"/>
        <v>0</v>
      </c>
      <c r="T322" s="95">
        <v>0</v>
      </c>
      <c r="U322" s="110"/>
      <c r="V322" s="110"/>
      <c r="W322" s="97"/>
      <c r="X322" s="91"/>
      <c r="Y322" s="85"/>
      <c r="Z322" s="98"/>
      <c r="AA322" s="85"/>
      <c r="AB322" s="85"/>
      <c r="AC322" s="85"/>
      <c r="AD322" s="85"/>
      <c r="AE322" s="85"/>
      <c r="AF322" s="85"/>
      <c r="AG322" s="83">
        <f t="shared" si="95"/>
        <v>0</v>
      </c>
    </row>
    <row r="323" spans="1:34" ht="24.95" customHeight="1">
      <c r="A323" s="85">
        <v>22</v>
      </c>
      <c r="B323" s="92">
        <v>1842230810</v>
      </c>
      <c r="C323" s="109" t="str">
        <f t="shared" si="87"/>
        <v>810</v>
      </c>
      <c r="D323" s="109" t="str">
        <f t="shared" si="93"/>
        <v>842230</v>
      </c>
      <c r="E323" s="93" t="s">
        <v>611</v>
      </c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>
        <f>VLOOKUP(B:B,'[3]תשלומים 2017'!B:R,15,0)</f>
        <v>51000</v>
      </c>
      <c r="Q323" s="95">
        <f>VLOOKUP(B:B,'[3]דוח כספי 10.17 מעודכן'!A:D,4,0)</f>
        <v>100757</v>
      </c>
      <c r="R323" s="95">
        <f>VLOOKUP(B:B,'[3]תשלומים 2017'!B:T,17,0)</f>
        <v>121000</v>
      </c>
      <c r="S323" s="95">
        <f t="shared" si="94"/>
        <v>120908.40000000001</v>
      </c>
      <c r="T323" s="95">
        <v>121000</v>
      </c>
      <c r="U323" s="110"/>
      <c r="V323" s="110"/>
      <c r="W323" s="97"/>
      <c r="X323" s="91"/>
      <c r="Y323" s="85"/>
      <c r="Z323" s="98"/>
      <c r="AA323" s="85"/>
      <c r="AB323" s="85"/>
      <c r="AC323" s="85"/>
      <c r="AD323" s="85"/>
      <c r="AE323" s="85"/>
      <c r="AF323" s="85"/>
      <c r="AG323" s="83">
        <f t="shared" si="95"/>
        <v>-49757</v>
      </c>
    </row>
    <row r="324" spans="1:34" ht="24.95" customHeight="1">
      <c r="A324" s="85">
        <v>22</v>
      </c>
      <c r="B324" s="92">
        <v>1842500810</v>
      </c>
      <c r="C324" s="109" t="str">
        <f t="shared" si="87"/>
        <v>810</v>
      </c>
      <c r="D324" s="109" t="str">
        <f t="shared" si="93"/>
        <v>842500</v>
      </c>
      <c r="E324" s="93" t="s">
        <v>270</v>
      </c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>
        <f>VLOOKUP(B:B,'[3]תשלומים 2017'!B:R,15,0)</f>
        <v>1000</v>
      </c>
      <c r="Q324" s="95">
        <f>VLOOKUP(B:B,'[3]דוח כספי 10.17 מעודכן'!A:D,4,0)</f>
        <v>0</v>
      </c>
      <c r="R324" s="95">
        <f>VLOOKUP(B:B,'[3]תשלומים 2017'!B:T,17,0)</f>
        <v>0</v>
      </c>
      <c r="S324" s="95">
        <f t="shared" si="94"/>
        <v>0</v>
      </c>
      <c r="T324" s="95">
        <v>0</v>
      </c>
      <c r="U324" s="110"/>
      <c r="V324" s="110"/>
      <c r="W324" s="97"/>
      <c r="X324" s="91"/>
      <c r="Y324" s="85"/>
      <c r="Z324" s="98"/>
      <c r="AA324" s="85"/>
      <c r="AB324" s="85"/>
      <c r="AC324" s="85"/>
      <c r="AD324" s="85"/>
      <c r="AE324" s="85"/>
      <c r="AF324" s="85"/>
      <c r="AG324" s="83">
        <f t="shared" si="95"/>
        <v>1000</v>
      </c>
    </row>
    <row r="325" spans="1:34" ht="24.95" customHeight="1">
      <c r="A325" s="85">
        <v>22</v>
      </c>
      <c r="B325" s="92">
        <v>1842510810</v>
      </c>
      <c r="C325" s="109" t="str">
        <f t="shared" si="87"/>
        <v>810</v>
      </c>
      <c r="D325" s="109" t="str">
        <f t="shared" si="93"/>
        <v>842510</v>
      </c>
      <c r="E325" s="93" t="s">
        <v>612</v>
      </c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>
        <f>VLOOKUP(B:B,'[3]תשלומים 2017'!B:R,15,0)</f>
        <v>8000</v>
      </c>
      <c r="Q325" s="95">
        <f>VLOOKUP(B:B,'[3]דוח כספי 10.17 מעודכן'!A:D,4,0)</f>
        <v>0</v>
      </c>
      <c r="R325" s="95">
        <f>VLOOKUP(B:B,'[3]תשלומים 2017'!B:T,17,0)</f>
        <v>0</v>
      </c>
      <c r="S325" s="95">
        <f t="shared" si="94"/>
        <v>0</v>
      </c>
      <c r="T325" s="95">
        <v>0</v>
      </c>
      <c r="U325" s="110"/>
      <c r="V325" s="110"/>
      <c r="W325" s="97"/>
      <c r="X325" s="91"/>
      <c r="Y325" s="85"/>
      <c r="Z325" s="98"/>
      <c r="AA325" s="85"/>
      <c r="AB325" s="85"/>
      <c r="AC325" s="85"/>
      <c r="AD325" s="85"/>
      <c r="AE325" s="85"/>
      <c r="AF325" s="85"/>
      <c r="AG325" s="83">
        <f t="shared" si="95"/>
        <v>8000</v>
      </c>
    </row>
    <row r="326" spans="1:34" ht="24.95" customHeight="1">
      <c r="A326" s="85">
        <v>22</v>
      </c>
      <c r="B326" s="92">
        <v>1842600410</v>
      </c>
      <c r="C326" s="109" t="str">
        <f t="shared" si="87"/>
        <v>410</v>
      </c>
      <c r="D326" s="109" t="str">
        <f t="shared" si="93"/>
        <v>842600</v>
      </c>
      <c r="E326" s="93" t="s">
        <v>613</v>
      </c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>
        <f>VLOOKUP(B:B,'[3]תשלומים 2017'!B:R,15,0)</f>
        <v>62000</v>
      </c>
      <c r="Q326" s="95">
        <f>VLOOKUP(B:B,'[3]דוח כספי 10.17 מעודכן'!A:D,4,0)</f>
        <v>74400</v>
      </c>
      <c r="R326" s="95">
        <f>VLOOKUP(B:B,'[3]תשלומים 2017'!B:T,17,0)</f>
        <v>90000</v>
      </c>
      <c r="S326" s="95">
        <f t="shared" si="94"/>
        <v>89280</v>
      </c>
      <c r="T326" s="95">
        <v>90000</v>
      </c>
      <c r="U326" s="110"/>
      <c r="V326" s="110"/>
      <c r="W326" s="97"/>
      <c r="X326" s="91"/>
      <c r="Y326" s="85"/>
      <c r="Z326" s="98"/>
      <c r="AA326" s="85"/>
      <c r="AB326" s="85"/>
      <c r="AC326" s="85"/>
      <c r="AD326" s="85"/>
      <c r="AE326" s="85"/>
      <c r="AF326" s="85"/>
      <c r="AG326" s="83">
        <f t="shared" si="95"/>
        <v>-12400</v>
      </c>
      <c r="AH326">
        <v>0</v>
      </c>
    </row>
    <row r="327" spans="1:34" s="1" customFormat="1" ht="24.95" customHeight="1">
      <c r="B327" s="28"/>
      <c r="C327" s="29"/>
      <c r="D327" s="29"/>
      <c r="E327" s="29" t="s">
        <v>274</v>
      </c>
      <c r="F327" s="30" t="e">
        <f>SUM(#REF!)</f>
        <v>#REF!</v>
      </c>
      <c r="G327" s="30" t="e">
        <f>SUM(#REF!)</f>
        <v>#REF!</v>
      </c>
      <c r="H327" s="30" t="e">
        <f>SUM(#REF!)</f>
        <v>#REF!</v>
      </c>
      <c r="I327" s="30" t="e">
        <f>SUM(#REF!)</f>
        <v>#REF!</v>
      </c>
      <c r="J327" s="30" t="e">
        <f>SUM(#REF!)</f>
        <v>#REF!</v>
      </c>
      <c r="K327" s="30" t="e">
        <f>SUM(#REF!)</f>
        <v>#REF!</v>
      </c>
      <c r="L327" s="30" t="e">
        <f>SUM(#REF!)</f>
        <v>#REF!</v>
      </c>
      <c r="M327" s="30" t="e">
        <f>SUM(#REF!)</f>
        <v>#REF!</v>
      </c>
      <c r="N327" s="30" t="e">
        <f>SUM(#REF!)</f>
        <v>#REF!</v>
      </c>
      <c r="O327" s="30" t="e">
        <f>SUM(#REF!)</f>
        <v>#REF!</v>
      </c>
      <c r="P327" s="30">
        <f t="shared" ref="P327:V327" si="96">SUM(P315:P326)</f>
        <v>2707000</v>
      </c>
      <c r="Q327" s="30">
        <f t="shared" si="96"/>
        <v>2419287.15</v>
      </c>
      <c r="R327" s="30">
        <f t="shared" si="96"/>
        <v>3201000</v>
      </c>
      <c r="S327" s="30">
        <f t="shared" si="96"/>
        <v>3098129.8079999997</v>
      </c>
      <c r="T327" s="30">
        <f t="shared" si="96"/>
        <v>3224000</v>
      </c>
      <c r="U327" s="112">
        <f t="shared" si="96"/>
        <v>11.25</v>
      </c>
      <c r="V327" s="112">
        <f t="shared" si="96"/>
        <v>11.25</v>
      </c>
      <c r="W327" s="22"/>
      <c r="X327" s="23"/>
      <c r="Y327" s="5">
        <f>IF(ISBLANK(B327),1,--OR(L327&gt;1,M327&gt;1,N327&gt;1))</f>
        <v>1</v>
      </c>
      <c r="Z327" s="1">
        <v>0</v>
      </c>
      <c r="AG327" s="1">
        <f t="shared" si="95"/>
        <v>287712.85000000009</v>
      </c>
    </row>
    <row r="328" spans="1:34" ht="24.95" customHeight="1">
      <c r="A328" s="85">
        <v>22</v>
      </c>
      <c r="B328" s="92">
        <v>1843500810</v>
      </c>
      <c r="C328" s="109" t="str">
        <f t="shared" si="87"/>
        <v>810</v>
      </c>
      <c r="D328" s="109" t="str">
        <f>MID(B328,2,6)</f>
        <v>843500</v>
      </c>
      <c r="E328" s="93" t="s">
        <v>282</v>
      </c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>
        <f>VLOOKUP(B:B,'[3]תשלומים 2017'!B:R,15,0)</f>
        <v>1499000</v>
      </c>
      <c r="Q328" s="95">
        <f>VLOOKUP(B:B,'[3]דוח כספי 10.17 מעודכן'!A:D,4,0)</f>
        <v>1311711</v>
      </c>
      <c r="R328" s="95">
        <v>1560000</v>
      </c>
      <c r="S328" s="95">
        <f>Q328/10*12</f>
        <v>1574053.2000000002</v>
      </c>
      <c r="T328" s="95">
        <v>1560000</v>
      </c>
      <c r="U328" s="110"/>
      <c r="V328" s="110"/>
      <c r="W328" s="97"/>
      <c r="X328" s="91"/>
      <c r="Y328" s="85"/>
      <c r="Z328" s="98"/>
      <c r="AA328" s="85"/>
      <c r="AB328" s="85"/>
      <c r="AC328" s="85"/>
      <c r="AD328" s="85"/>
      <c r="AE328" s="85"/>
      <c r="AF328" s="85"/>
      <c r="AG328" s="83">
        <f t="shared" si="95"/>
        <v>187289</v>
      </c>
    </row>
    <row r="329" spans="1:34" ht="24.95" customHeight="1">
      <c r="A329" s="85">
        <v>22</v>
      </c>
      <c r="B329" s="92">
        <v>1843510840</v>
      </c>
      <c r="C329" s="109" t="str">
        <f t="shared" si="87"/>
        <v>840</v>
      </c>
      <c r="D329" s="109" t="str">
        <f>MID(B329,2,6)</f>
        <v>843510</v>
      </c>
      <c r="E329" s="93" t="s">
        <v>278</v>
      </c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>
        <f>VLOOKUP(B:B,'[3]תשלומים 2017'!B:R,15,0)</f>
        <v>424000</v>
      </c>
      <c r="Q329" s="95">
        <f>VLOOKUP(B:B,'[3]דוח כספי 10.17 מעודכן'!A:D,4,0)</f>
        <v>411418</v>
      </c>
      <c r="R329" s="95">
        <f>VLOOKUP(B:B,'[3]תשלומים 2017'!B:T,17,0)</f>
        <v>494000</v>
      </c>
      <c r="S329" s="95">
        <f>Q329/10*12</f>
        <v>493701.60000000003</v>
      </c>
      <c r="T329" s="95">
        <v>494000</v>
      </c>
      <c r="U329" s="110"/>
      <c r="V329" s="110"/>
      <c r="W329" s="97"/>
      <c r="X329" s="91"/>
      <c r="Y329" s="85"/>
      <c r="Z329" s="98"/>
      <c r="AA329" s="85"/>
      <c r="AB329" s="85"/>
      <c r="AC329" s="85"/>
      <c r="AD329" s="85"/>
      <c r="AE329" s="85"/>
      <c r="AF329" s="85"/>
      <c r="AG329" s="83">
        <f t="shared" si="95"/>
        <v>12582</v>
      </c>
    </row>
    <row r="330" spans="1:34" ht="24.95" customHeight="1">
      <c r="A330" s="85">
        <v>22</v>
      </c>
      <c r="B330" s="92">
        <v>1843800840</v>
      </c>
      <c r="C330" s="109" t="str">
        <f t="shared" si="87"/>
        <v>840</v>
      </c>
      <c r="D330" s="109" t="str">
        <f>MID(B330,2,6)</f>
        <v>843800</v>
      </c>
      <c r="E330" s="93" t="s">
        <v>276</v>
      </c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>
        <f>VLOOKUP(B:B,'[3]תשלומים 2017'!B:R,15,0)</f>
        <v>291000</v>
      </c>
      <c r="Q330" s="95">
        <f>VLOOKUP(B:B,'[3]דוח כספי 10.17 מעודכן'!A:D,4,0)</f>
        <v>200420</v>
      </c>
      <c r="R330" s="95">
        <f>VLOOKUP(B:B,'[3]תשלומים 2017'!B:T,17,0)</f>
        <v>241000</v>
      </c>
      <c r="S330" s="95">
        <f>Q330/10*12</f>
        <v>240504</v>
      </c>
      <c r="T330" s="95">
        <v>241000</v>
      </c>
      <c r="U330" s="110"/>
      <c r="V330" s="110"/>
      <c r="W330" s="97"/>
      <c r="X330" s="91"/>
      <c r="Y330" s="85"/>
      <c r="Z330" s="98"/>
      <c r="AA330" s="85"/>
      <c r="AB330" s="85"/>
      <c r="AC330" s="85"/>
      <c r="AD330" s="85"/>
      <c r="AE330" s="85"/>
      <c r="AF330" s="85"/>
      <c r="AG330" s="83">
        <f t="shared" si="95"/>
        <v>90580</v>
      </c>
    </row>
    <row r="331" spans="1:34" ht="24.95" customHeight="1">
      <c r="A331" s="85">
        <v>22</v>
      </c>
      <c r="B331" s="92">
        <v>1843900810</v>
      </c>
      <c r="C331" s="109" t="str">
        <f t="shared" si="87"/>
        <v>810</v>
      </c>
      <c r="D331" s="109" t="str">
        <f>MID(B331,2,6)</f>
        <v>843900</v>
      </c>
      <c r="E331" s="93" t="s">
        <v>614</v>
      </c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>
        <f>VLOOKUP(B:B,'[3]תשלומים 2017'!B:R,15,0)</f>
        <v>0</v>
      </c>
      <c r="Q331" s="95">
        <f>VLOOKUP(B:B,'[3]דוח כספי 10.17 מעודכן'!A:D,4,0)</f>
        <v>0</v>
      </c>
      <c r="R331" s="95">
        <f>VLOOKUP(B:B,'[3]תשלומים 2017'!B:T,17,0)</f>
        <v>0</v>
      </c>
      <c r="S331" s="95">
        <f>Q331/10*12</f>
        <v>0</v>
      </c>
      <c r="T331" s="95">
        <v>0</v>
      </c>
      <c r="U331" s="110"/>
      <c r="V331" s="110"/>
      <c r="W331" s="97"/>
      <c r="X331" s="91"/>
      <c r="Y331" s="85"/>
      <c r="Z331" s="98"/>
      <c r="AA331" s="85"/>
      <c r="AB331" s="85"/>
      <c r="AC331" s="85"/>
      <c r="AD331" s="85"/>
      <c r="AE331" s="85"/>
      <c r="AF331" s="85"/>
      <c r="AG331" s="83">
        <f t="shared" si="95"/>
        <v>0</v>
      </c>
    </row>
    <row r="332" spans="1:34" ht="24.95" customHeight="1">
      <c r="A332" s="85">
        <v>22</v>
      </c>
      <c r="B332" s="92">
        <v>1843910810</v>
      </c>
      <c r="C332" s="109" t="str">
        <f t="shared" si="87"/>
        <v>810</v>
      </c>
      <c r="D332" s="109" t="str">
        <f>MID(B332,2,6)</f>
        <v>843910</v>
      </c>
      <c r="E332" s="93" t="s">
        <v>615</v>
      </c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>
        <f>VLOOKUP(B:B,'[3]תשלומים 2017'!B:R,15,0)</f>
        <v>19000</v>
      </c>
      <c r="Q332" s="95">
        <f>VLOOKUP(B:B,'[3]דוח כספי 10.17 מעודכן'!A:D,4,0)</f>
        <v>12771</v>
      </c>
      <c r="R332" s="95">
        <f>VLOOKUP(B:B,'[3]תשלומים 2017'!B:T,17,0)</f>
        <v>15000</v>
      </c>
      <c r="S332" s="95">
        <f>Q332/10*12</f>
        <v>15325.199999999999</v>
      </c>
      <c r="T332" s="95">
        <v>15000</v>
      </c>
      <c r="U332" s="110"/>
      <c r="V332" s="110"/>
      <c r="W332" s="97"/>
      <c r="X332" s="91"/>
      <c r="Y332" s="85"/>
      <c r="Z332" s="98"/>
      <c r="AA332" s="85"/>
      <c r="AB332" s="85"/>
      <c r="AC332" s="85"/>
      <c r="AD332" s="85"/>
      <c r="AE332" s="85"/>
      <c r="AF332" s="85"/>
      <c r="AG332" s="83">
        <f t="shared" si="95"/>
        <v>6229</v>
      </c>
    </row>
    <row r="333" spans="1:34" s="1" customFormat="1" ht="24.95" customHeight="1">
      <c r="B333" s="28"/>
      <c r="C333" s="29"/>
      <c r="D333" s="29"/>
      <c r="E333" s="30">
        <f t="shared" ref="E333:V333" si="97">SUM(E328:E332)</f>
        <v>0</v>
      </c>
      <c r="F333" s="30">
        <f t="shared" si="97"/>
        <v>0</v>
      </c>
      <c r="G333" s="30">
        <f t="shared" si="97"/>
        <v>0</v>
      </c>
      <c r="H333" s="30">
        <f t="shared" si="97"/>
        <v>0</v>
      </c>
      <c r="I333" s="30">
        <f t="shared" si="97"/>
        <v>0</v>
      </c>
      <c r="J333" s="30">
        <f t="shared" si="97"/>
        <v>0</v>
      </c>
      <c r="K333" s="30">
        <f t="shared" si="97"/>
        <v>0</v>
      </c>
      <c r="L333" s="30">
        <f t="shared" si="97"/>
        <v>0</v>
      </c>
      <c r="M333" s="30">
        <f t="shared" si="97"/>
        <v>0</v>
      </c>
      <c r="N333" s="30">
        <f t="shared" si="97"/>
        <v>0</v>
      </c>
      <c r="O333" s="30">
        <f t="shared" si="97"/>
        <v>0</v>
      </c>
      <c r="P333" s="30">
        <f t="shared" si="97"/>
        <v>2233000</v>
      </c>
      <c r="Q333" s="30">
        <f t="shared" si="97"/>
        <v>1936320</v>
      </c>
      <c r="R333" s="30">
        <f t="shared" si="97"/>
        <v>2310000</v>
      </c>
      <c r="S333" s="30">
        <f t="shared" si="97"/>
        <v>2323584.0000000005</v>
      </c>
      <c r="T333" s="30">
        <f t="shared" si="97"/>
        <v>2310000</v>
      </c>
      <c r="U333" s="112">
        <f t="shared" si="97"/>
        <v>0</v>
      </c>
      <c r="V333" s="112">
        <f t="shared" si="97"/>
        <v>0</v>
      </c>
      <c r="W333" s="22"/>
      <c r="X333" s="23"/>
      <c r="Y333" s="5">
        <f>IF(ISBLANK(B333),1,--OR(L333&gt;1,M333&gt;1,N333&gt;1))</f>
        <v>1</v>
      </c>
      <c r="Z333" s="1">
        <v>0</v>
      </c>
      <c r="AG333" s="1">
        <f t="shared" si="95"/>
        <v>296680</v>
      </c>
    </row>
    <row r="334" spans="1:34" ht="24.95" customHeight="1">
      <c r="A334" s="85">
        <v>21</v>
      </c>
      <c r="B334" s="92">
        <v>1844000110</v>
      </c>
      <c r="C334" s="109" t="str">
        <f t="shared" si="87"/>
        <v>110</v>
      </c>
      <c r="D334" s="109" t="str">
        <f>MID(B334,2,6)</f>
        <v>844000</v>
      </c>
      <c r="E334" s="93" t="s">
        <v>616</v>
      </c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>
        <f>VLOOKUP(B:B,'[3]תשלומים 2017'!B:R,15,0)</f>
        <v>83000</v>
      </c>
      <c r="Q334" s="95">
        <f>VLOOKUP(B:B,'[3]דוח כספי 10.17 מעודכן'!A:D,4,0)</f>
        <v>67502.55</v>
      </c>
      <c r="R334" s="95">
        <f>VLOOKUP(B:B,'[3]תשלומים 2017'!B:T,17,0)</f>
        <v>90000</v>
      </c>
      <c r="S334" s="95">
        <f>Q334/9*12</f>
        <v>90003.400000000009</v>
      </c>
      <c r="T334" s="95">
        <v>90000</v>
      </c>
      <c r="U334" s="96">
        <v>0.6</v>
      </c>
      <c r="V334" s="96">
        <f>0.6+0.23</f>
        <v>0.83</v>
      </c>
      <c r="W334" s="97"/>
      <c r="X334" s="91"/>
      <c r="Y334" s="85"/>
      <c r="Z334" s="98"/>
      <c r="AA334" s="85"/>
      <c r="AB334" s="85"/>
      <c r="AC334" s="85"/>
      <c r="AD334" s="85"/>
      <c r="AE334" s="85"/>
      <c r="AF334" s="85"/>
      <c r="AG334"/>
    </row>
    <row r="335" spans="1:34" ht="24.95" customHeight="1">
      <c r="A335" s="85">
        <v>22</v>
      </c>
      <c r="B335" s="92">
        <v>1844000431</v>
      </c>
      <c r="C335" s="109" t="str">
        <f t="shared" si="87"/>
        <v>431</v>
      </c>
      <c r="D335" s="109" t="str">
        <f>MID(B335,2,6)</f>
        <v>844000</v>
      </c>
      <c r="E335" s="93" t="s">
        <v>617</v>
      </c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>
        <f>VLOOKUP(B:B,'[3]תשלומים 2017'!B:R,15,0)</f>
        <v>0</v>
      </c>
      <c r="Q335" s="95">
        <f>VLOOKUP(B:B,'[3]דוח כספי 10.17 מעודכן'!A:D,4,0)</f>
        <v>0</v>
      </c>
      <c r="R335" s="95">
        <f>VLOOKUP(B:B,'[3]תשלומים 2017'!B:T,17,0)</f>
        <v>0</v>
      </c>
      <c r="S335" s="95">
        <f>Q335/10*12</f>
        <v>0</v>
      </c>
      <c r="T335" s="95">
        <v>0</v>
      </c>
      <c r="U335" s="110"/>
      <c r="V335" s="110"/>
      <c r="W335" s="97"/>
      <c r="X335" s="91"/>
      <c r="Y335" s="85"/>
      <c r="Z335" s="98"/>
      <c r="AA335" s="85"/>
      <c r="AB335" s="85"/>
      <c r="AC335" s="85"/>
      <c r="AD335" s="85"/>
      <c r="AE335" s="85"/>
      <c r="AF335" s="85"/>
      <c r="AG335" s="83">
        <f t="shared" ref="AG335:AG365" si="98">P335-Q335</f>
        <v>0</v>
      </c>
    </row>
    <row r="336" spans="1:34" ht="24.95" customHeight="1">
      <c r="A336" s="85">
        <v>22</v>
      </c>
      <c r="B336" s="92">
        <v>1844000980</v>
      </c>
      <c r="C336" s="109" t="str">
        <f t="shared" si="87"/>
        <v>980</v>
      </c>
      <c r="D336" s="109" t="str">
        <f>MID(B336,2,6)</f>
        <v>844000</v>
      </c>
      <c r="E336" s="93" t="s">
        <v>618</v>
      </c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>
        <f>VLOOKUP(B:B,'[3]תשלומים 2017'!B:R,15,0)</f>
        <v>0</v>
      </c>
      <c r="Q336" s="95">
        <f>VLOOKUP(B:B,'[3]דוח כספי 10.17 מעודכן'!A:D,4,0)</f>
        <v>0</v>
      </c>
      <c r="R336" s="95">
        <f>VLOOKUP(B:B,'[3]תשלומים 2017'!B:T,17,0)</f>
        <v>0</v>
      </c>
      <c r="S336" s="95">
        <f>Q336/10*12</f>
        <v>0</v>
      </c>
      <c r="T336" s="95">
        <v>0</v>
      </c>
      <c r="U336" s="110"/>
      <c r="V336" s="110"/>
      <c r="W336" s="97"/>
      <c r="X336" s="91"/>
      <c r="Y336" s="85"/>
      <c r="Z336" s="98"/>
      <c r="AA336" s="85"/>
      <c r="AB336" s="85"/>
      <c r="AC336" s="85"/>
      <c r="AD336" s="85"/>
      <c r="AE336" s="85"/>
      <c r="AF336" s="85"/>
      <c r="AG336" s="83">
        <f t="shared" si="98"/>
        <v>0</v>
      </c>
    </row>
    <row r="337" spans="1:34" ht="24.95" customHeight="1">
      <c r="A337" s="85">
        <v>22</v>
      </c>
      <c r="B337" s="92">
        <v>1844410810</v>
      </c>
      <c r="C337" s="109" t="str">
        <f t="shared" si="87"/>
        <v>810</v>
      </c>
      <c r="D337" s="109" t="str">
        <f>MID(B337,2,6)</f>
        <v>844410</v>
      </c>
      <c r="E337" s="93" t="s">
        <v>294</v>
      </c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>
        <f>VLOOKUP(B:B,'[3]תשלומים 2017'!B:R,15,0)</f>
        <v>53000</v>
      </c>
      <c r="Q337" s="95">
        <f>VLOOKUP(B:B,'[3]דוח כספי 10.17 מעודכן'!A:D,4,0)</f>
        <v>49256</v>
      </c>
      <c r="R337" s="95">
        <f>VLOOKUP(B:B,'[3]תשלומים 2017'!B:T,17,0)</f>
        <v>59000</v>
      </c>
      <c r="S337" s="95">
        <f>Q337/10*12</f>
        <v>59107.200000000004</v>
      </c>
      <c r="T337" s="95">
        <v>60000</v>
      </c>
      <c r="U337" s="110"/>
      <c r="V337" s="110"/>
      <c r="W337" s="97"/>
      <c r="X337" s="91"/>
      <c r="Y337" s="85"/>
      <c r="Z337" s="98"/>
      <c r="AA337" s="85"/>
      <c r="AB337" s="85"/>
      <c r="AC337" s="85"/>
      <c r="AD337" s="85"/>
      <c r="AE337" s="85"/>
      <c r="AF337" s="85"/>
      <c r="AG337" s="83">
        <f t="shared" si="98"/>
        <v>3744</v>
      </c>
      <c r="AH337">
        <v>0</v>
      </c>
    </row>
    <row r="338" spans="1:34" ht="24.95" customHeight="1">
      <c r="A338" s="85">
        <v>22</v>
      </c>
      <c r="B338" s="92">
        <v>1844410840</v>
      </c>
      <c r="C338" s="109" t="str">
        <f t="shared" si="87"/>
        <v>840</v>
      </c>
      <c r="D338" s="109" t="str">
        <f>MID(B338,2,6)</f>
        <v>844410</v>
      </c>
      <c r="E338" s="93" t="s">
        <v>619</v>
      </c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>
        <f>VLOOKUP(B:B,'[3]תשלומים 2017'!B:R,15,0)</f>
        <v>98000</v>
      </c>
      <c r="Q338" s="95">
        <f>VLOOKUP(B:B,'[3]דוח כספי 10.17 מעודכן'!A:D,4,0)</f>
        <v>79353</v>
      </c>
      <c r="R338" s="95">
        <f>VLOOKUP(B:B,'[3]תשלומים 2017'!B:T,17,0)</f>
        <v>95000</v>
      </c>
      <c r="S338" s="95">
        <f>Q338/10*12</f>
        <v>95223.6</v>
      </c>
      <c r="T338" s="95">
        <v>95000</v>
      </c>
      <c r="U338" s="110"/>
      <c r="V338" s="110"/>
      <c r="W338" s="97"/>
      <c r="X338" s="91"/>
      <c r="Y338" s="85"/>
      <c r="Z338" s="98"/>
      <c r="AA338" s="85"/>
      <c r="AB338" s="85"/>
      <c r="AC338" s="85"/>
      <c r="AD338" s="85"/>
      <c r="AE338" s="85"/>
      <c r="AF338" s="85"/>
      <c r="AG338" s="83">
        <f t="shared" si="98"/>
        <v>18647</v>
      </c>
      <c r="AH338">
        <v>0</v>
      </c>
    </row>
    <row r="339" spans="1:34" s="1" customFormat="1" ht="24.95" customHeight="1">
      <c r="B339" s="28"/>
      <c r="C339" s="29"/>
      <c r="D339" s="29"/>
      <c r="E339" s="29" t="s">
        <v>620</v>
      </c>
      <c r="F339" s="30" t="e">
        <f>SUM(#REF!)</f>
        <v>#REF!</v>
      </c>
      <c r="G339" s="30" t="e">
        <f>SUM(#REF!)</f>
        <v>#REF!</v>
      </c>
      <c r="H339" s="30" t="e">
        <f>SUM(#REF!)</f>
        <v>#REF!</v>
      </c>
      <c r="I339" s="30" t="e">
        <f>SUM(#REF!)</f>
        <v>#REF!</v>
      </c>
      <c r="J339" s="30" t="e">
        <f>SUM(#REF!)</f>
        <v>#REF!</v>
      </c>
      <c r="K339" s="30" t="e">
        <f>SUM(#REF!)</f>
        <v>#REF!</v>
      </c>
      <c r="L339" s="30" t="e">
        <f>SUM(#REF!)</f>
        <v>#REF!</v>
      </c>
      <c r="M339" s="30" t="e">
        <f>SUM(#REF!)</f>
        <v>#REF!</v>
      </c>
      <c r="N339" s="30" t="e">
        <f>SUM(#REF!)</f>
        <v>#REF!</v>
      </c>
      <c r="O339" s="30" t="e">
        <f>SUM(#REF!)</f>
        <v>#REF!</v>
      </c>
      <c r="P339" s="30">
        <f t="shared" ref="P339:V339" si="99">SUM(P334:P338)</f>
        <v>234000</v>
      </c>
      <c r="Q339" s="30">
        <f t="shared" si="99"/>
        <v>196111.55</v>
      </c>
      <c r="R339" s="30">
        <f t="shared" si="99"/>
        <v>244000</v>
      </c>
      <c r="S339" s="30">
        <f t="shared" si="99"/>
        <v>244334.2</v>
      </c>
      <c r="T339" s="30">
        <f>SUM(T334:T338)</f>
        <v>245000</v>
      </c>
      <c r="U339" s="112">
        <f t="shared" si="99"/>
        <v>0.6</v>
      </c>
      <c r="V339" s="112">
        <f t="shared" si="99"/>
        <v>0.83</v>
      </c>
      <c r="W339" s="22"/>
      <c r="X339" s="23"/>
      <c r="Y339" s="5">
        <f>IF(ISBLANK(B339),1,--OR(L339&gt;1,M339&gt;1,N339&gt;1))</f>
        <v>1</v>
      </c>
      <c r="Z339" s="1">
        <v>0</v>
      </c>
      <c r="AG339" s="1">
        <f t="shared" si="98"/>
        <v>37888.450000000012</v>
      </c>
      <c r="AH339" s="1">
        <v>0</v>
      </c>
    </row>
    <row r="340" spans="1:34" ht="24.95" customHeight="1">
      <c r="A340" s="85">
        <v>22</v>
      </c>
      <c r="B340" s="92">
        <v>1845100840</v>
      </c>
      <c r="C340" s="109" t="str">
        <f t="shared" si="87"/>
        <v>840</v>
      </c>
      <c r="D340" s="109" t="str">
        <f t="shared" ref="D340:D346" si="100">MID(B340,2,6)</f>
        <v>845100</v>
      </c>
      <c r="E340" s="93" t="s">
        <v>297</v>
      </c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>
        <f>VLOOKUP(B:B,'[3]תשלומים 2017'!B:R,15,0)</f>
        <v>560000</v>
      </c>
      <c r="Q340" s="95">
        <f>VLOOKUP(B:B,'[3]דוח כספי 10.17 מעודכן'!A:D,4,0)</f>
        <v>597296</v>
      </c>
      <c r="R340" s="95">
        <f>VLOOKUP(B:B,'[3]תשלומים 2017'!B:T,17,0)</f>
        <v>717000</v>
      </c>
      <c r="S340" s="95">
        <f t="shared" ref="S340:S346" si="101">Q340/10*12</f>
        <v>716755.2</v>
      </c>
      <c r="T340" s="95">
        <v>717000</v>
      </c>
      <c r="U340" s="110"/>
      <c r="V340" s="110"/>
      <c r="W340" s="97"/>
      <c r="X340" s="91"/>
      <c r="Y340" s="85"/>
      <c r="Z340" s="98"/>
      <c r="AA340" s="85"/>
      <c r="AB340" s="85"/>
      <c r="AC340" s="85"/>
      <c r="AD340" s="85"/>
      <c r="AE340" s="85"/>
      <c r="AF340" s="85"/>
      <c r="AG340" s="83">
        <f t="shared" si="98"/>
        <v>-37296</v>
      </c>
    </row>
    <row r="341" spans="1:34" ht="24.95" customHeight="1">
      <c r="A341" s="85">
        <v>22</v>
      </c>
      <c r="B341" s="92">
        <v>1845110840</v>
      </c>
      <c r="C341" s="109" t="str">
        <f t="shared" si="87"/>
        <v>840</v>
      </c>
      <c r="D341" s="109" t="str">
        <f t="shared" si="100"/>
        <v>845110</v>
      </c>
      <c r="E341" s="93" t="s">
        <v>621</v>
      </c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>
        <f>VLOOKUP(B:B,'[3]תשלומים 2017'!B:R,15,0)</f>
        <v>736000</v>
      </c>
      <c r="Q341" s="95">
        <f>VLOOKUP(B:B,'[3]דוח כספי 10.17 מעודכן'!A:D,4,0)</f>
        <v>551862</v>
      </c>
      <c r="R341" s="95">
        <f>VLOOKUP(B:B,'[3]תשלומים 2017'!B:T,17,0)</f>
        <v>662000</v>
      </c>
      <c r="S341" s="95">
        <f t="shared" si="101"/>
        <v>662234.39999999991</v>
      </c>
      <c r="T341" s="95">
        <v>663000</v>
      </c>
      <c r="U341" s="110"/>
      <c r="V341" s="110"/>
      <c r="W341" s="97"/>
      <c r="X341" s="91"/>
      <c r="Y341" s="85"/>
      <c r="Z341" s="98"/>
      <c r="AA341" s="85"/>
      <c r="AB341" s="85"/>
      <c r="AC341" s="85"/>
      <c r="AD341" s="85"/>
      <c r="AE341" s="85"/>
      <c r="AF341" s="85"/>
      <c r="AG341" s="83">
        <f t="shared" si="98"/>
        <v>184138</v>
      </c>
    </row>
    <row r="342" spans="1:34" ht="24.95" customHeight="1">
      <c r="A342" s="85">
        <v>22</v>
      </c>
      <c r="B342" s="92">
        <v>1845120840</v>
      </c>
      <c r="C342" s="109" t="str">
        <f t="shared" si="87"/>
        <v>840</v>
      </c>
      <c r="D342" s="109" t="str">
        <f t="shared" si="100"/>
        <v>845120</v>
      </c>
      <c r="E342" s="93" t="s">
        <v>622</v>
      </c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>
        <f>VLOOKUP(B:B,'[3]תשלומים 2017'!B:R,15,0)</f>
        <v>612000</v>
      </c>
      <c r="Q342" s="95">
        <f>VLOOKUP(B:B,'[3]דוח כספי 10.17 מעודכן'!A:D,4,0)</f>
        <v>552647</v>
      </c>
      <c r="R342" s="95">
        <f>VLOOKUP(B:B,'[3]תשלומים 2017'!B:T,17,0)</f>
        <v>663000</v>
      </c>
      <c r="S342" s="95">
        <f t="shared" si="101"/>
        <v>663176.39999999991</v>
      </c>
      <c r="T342" s="95">
        <v>664000</v>
      </c>
      <c r="U342" s="110"/>
      <c r="V342" s="110"/>
      <c r="W342" s="97"/>
      <c r="X342" s="91"/>
      <c r="Y342" s="85"/>
      <c r="Z342" s="98"/>
      <c r="AA342" s="85"/>
      <c r="AB342" s="85"/>
      <c r="AC342" s="85"/>
      <c r="AD342" s="85"/>
      <c r="AE342" s="85"/>
      <c r="AF342" s="85"/>
      <c r="AG342" s="83">
        <f t="shared" si="98"/>
        <v>59353</v>
      </c>
    </row>
    <row r="343" spans="1:34" ht="24.95" customHeight="1">
      <c r="A343" s="85">
        <v>22</v>
      </c>
      <c r="B343" s="92">
        <v>1845200840</v>
      </c>
      <c r="C343" s="109" t="str">
        <f t="shared" si="87"/>
        <v>840</v>
      </c>
      <c r="D343" s="109" t="str">
        <f t="shared" si="100"/>
        <v>845200</v>
      </c>
      <c r="E343" s="93" t="s">
        <v>623</v>
      </c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>
        <f>VLOOKUP(B:B,'[3]תשלומים 2017'!B:R,15,0)</f>
        <v>94000</v>
      </c>
      <c r="Q343" s="95">
        <f>VLOOKUP(B:B,'[3]דוח כספי 10.17 מעודכן'!A:D,4,0)</f>
        <v>50232</v>
      </c>
      <c r="R343" s="95">
        <f>VLOOKUP(B:B,'[3]תשלומים 2017'!B:T,17,0)</f>
        <v>60000</v>
      </c>
      <c r="S343" s="95">
        <f t="shared" si="101"/>
        <v>60278.399999999994</v>
      </c>
      <c r="T343" s="95">
        <v>61000</v>
      </c>
      <c r="U343" s="110"/>
      <c r="V343" s="110"/>
      <c r="W343" s="97"/>
      <c r="X343" s="91"/>
      <c r="Y343" s="85"/>
      <c r="Z343" s="98"/>
      <c r="AA343" s="85"/>
      <c r="AB343" s="85"/>
      <c r="AC343" s="85"/>
      <c r="AD343" s="85"/>
      <c r="AE343" s="85"/>
      <c r="AF343" s="85"/>
      <c r="AG343" s="83">
        <f t="shared" si="98"/>
        <v>43768</v>
      </c>
    </row>
    <row r="344" spans="1:34" ht="24.95" customHeight="1">
      <c r="A344" s="85">
        <v>22</v>
      </c>
      <c r="B344" s="92">
        <v>1845210840</v>
      </c>
      <c r="C344" s="109" t="str">
        <f t="shared" si="87"/>
        <v>840</v>
      </c>
      <c r="D344" s="109" t="str">
        <f t="shared" si="100"/>
        <v>845210</v>
      </c>
      <c r="E344" s="93" t="s">
        <v>624</v>
      </c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>
        <f>VLOOKUP(B:B,'[3]תשלומים 2017'!B:R,15,0)</f>
        <v>0</v>
      </c>
      <c r="Q344" s="95">
        <f>VLOOKUP(B:B,'[3]דוח כספי 10.17 מעודכן'!A:D,4,0)</f>
        <v>0</v>
      </c>
      <c r="R344" s="95">
        <f>VLOOKUP(B:B,'[3]תשלומים 2017'!B:T,17,0)</f>
        <v>0</v>
      </c>
      <c r="S344" s="95">
        <f t="shared" si="101"/>
        <v>0</v>
      </c>
      <c r="T344" s="95">
        <v>0</v>
      </c>
      <c r="U344" s="110"/>
      <c r="V344" s="110"/>
      <c r="W344" s="97"/>
      <c r="X344" s="91"/>
      <c r="Y344" s="85"/>
      <c r="Z344" s="98"/>
      <c r="AA344" s="85"/>
      <c r="AB344" s="85"/>
      <c r="AC344" s="85"/>
      <c r="AD344" s="85"/>
      <c r="AE344" s="85"/>
      <c r="AF344" s="85"/>
      <c r="AG344" s="83">
        <f t="shared" si="98"/>
        <v>0</v>
      </c>
    </row>
    <row r="345" spans="1:34" ht="24.95" customHeight="1">
      <c r="A345" s="85">
        <v>22</v>
      </c>
      <c r="B345" s="92">
        <v>1845300840</v>
      </c>
      <c r="C345" s="109" t="str">
        <f t="shared" si="87"/>
        <v>840</v>
      </c>
      <c r="D345" s="109" t="str">
        <f t="shared" si="100"/>
        <v>845300</v>
      </c>
      <c r="E345" s="93" t="s">
        <v>301</v>
      </c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>
        <f>VLOOKUP(B:B,'[3]תשלומים 2017'!B:R,15,0)</f>
        <v>0</v>
      </c>
      <c r="Q345" s="95">
        <f>VLOOKUP(B:B,'[3]דוח כספי 10.17 מעודכן'!A:D,4,0)</f>
        <v>3550</v>
      </c>
      <c r="R345" s="95">
        <f>VLOOKUP(B:B,'[3]תשלומים 2017'!B:T,17,0)</f>
        <v>4000</v>
      </c>
      <c r="S345" s="95">
        <f t="shared" si="101"/>
        <v>4260</v>
      </c>
      <c r="T345" s="95">
        <v>4500</v>
      </c>
      <c r="U345" s="110"/>
      <c r="V345" s="110"/>
      <c r="W345" s="97"/>
      <c r="X345" s="91"/>
      <c r="Y345" s="85"/>
      <c r="Z345" s="98"/>
      <c r="AA345" s="85"/>
      <c r="AB345" s="85"/>
      <c r="AC345" s="85"/>
      <c r="AD345" s="85"/>
      <c r="AE345" s="85"/>
      <c r="AF345" s="85"/>
      <c r="AG345" s="83">
        <f t="shared" si="98"/>
        <v>-3550</v>
      </c>
    </row>
    <row r="346" spans="1:34" ht="24.95" customHeight="1">
      <c r="A346" s="85">
        <v>22</v>
      </c>
      <c r="B346" s="92">
        <v>1845500840</v>
      </c>
      <c r="C346" s="109" t="str">
        <f t="shared" si="87"/>
        <v>840</v>
      </c>
      <c r="D346" s="109" t="str">
        <f t="shared" si="100"/>
        <v>845500</v>
      </c>
      <c r="E346" s="93" t="s">
        <v>269</v>
      </c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>
        <f>VLOOKUP(B:B,'[3]תשלומים 2017'!B:R,15,0)</f>
        <v>122000</v>
      </c>
      <c r="Q346" s="95">
        <f>VLOOKUP(B:B,'[3]דוח כספי 10.17 מעודכן'!A:D,4,0)</f>
        <v>85401</v>
      </c>
      <c r="R346" s="95">
        <f>VLOOKUP(B:B,'[3]תשלומים 2017'!B:T,17,0)</f>
        <v>103000</v>
      </c>
      <c r="S346" s="95">
        <f t="shared" si="101"/>
        <v>102481.20000000001</v>
      </c>
      <c r="T346" s="95">
        <v>103000</v>
      </c>
      <c r="U346" s="110"/>
      <c r="V346" s="110"/>
      <c r="W346" s="97"/>
      <c r="X346" s="91"/>
      <c r="Y346" s="85"/>
      <c r="Z346" s="98"/>
      <c r="AA346" s="85"/>
      <c r="AB346" s="85"/>
      <c r="AC346" s="85"/>
      <c r="AD346" s="85"/>
      <c r="AE346" s="85"/>
      <c r="AF346" s="85"/>
      <c r="AG346" s="83">
        <f t="shared" si="98"/>
        <v>36599</v>
      </c>
    </row>
    <row r="347" spans="1:34" s="1" customFormat="1" ht="24.95" customHeight="1">
      <c r="B347" s="28"/>
      <c r="C347" s="29"/>
      <c r="D347" s="29"/>
      <c r="E347" s="29" t="s">
        <v>625</v>
      </c>
      <c r="F347" s="30" t="e">
        <f>SUM(#REF!)</f>
        <v>#REF!</v>
      </c>
      <c r="G347" s="30" t="e">
        <f>SUM(#REF!)</f>
        <v>#REF!</v>
      </c>
      <c r="H347" s="30" t="e">
        <f>SUM(#REF!)</f>
        <v>#REF!</v>
      </c>
      <c r="I347" s="30" t="e">
        <f>SUM(#REF!)</f>
        <v>#REF!</v>
      </c>
      <c r="J347" s="30" t="e">
        <f>SUM(#REF!)</f>
        <v>#REF!</v>
      </c>
      <c r="K347" s="30" t="e">
        <f>SUM(#REF!)</f>
        <v>#REF!</v>
      </c>
      <c r="L347" s="30" t="e">
        <f>SUM(#REF!)</f>
        <v>#REF!</v>
      </c>
      <c r="M347" s="30" t="e">
        <f>SUM(#REF!)</f>
        <v>#REF!</v>
      </c>
      <c r="N347" s="30" t="e">
        <f>SUM(#REF!)</f>
        <v>#REF!</v>
      </c>
      <c r="O347" s="30" t="e">
        <f>SUM(#REF!)</f>
        <v>#REF!</v>
      </c>
      <c r="P347" s="30">
        <f t="shared" ref="P347:S347" si="102">SUM(P340:P346)</f>
        <v>2124000</v>
      </c>
      <c r="Q347" s="30">
        <f t="shared" si="102"/>
        <v>1840988</v>
      </c>
      <c r="R347" s="30">
        <f t="shared" si="102"/>
        <v>2209000</v>
      </c>
      <c r="S347" s="30">
        <f t="shared" si="102"/>
        <v>2209185.6</v>
      </c>
      <c r="T347" s="30">
        <f>SUM(T340:T346)</f>
        <v>2212500</v>
      </c>
      <c r="U347" s="112">
        <f t="shared" ref="U347:V347" si="103">SUM(U340:U346)</f>
        <v>0</v>
      </c>
      <c r="V347" s="112">
        <f t="shared" si="103"/>
        <v>0</v>
      </c>
      <c r="W347" s="22"/>
      <c r="X347" s="23"/>
      <c r="Y347" s="5">
        <f>IF(ISBLANK(B347),1,--OR(L347&gt;1,M347&gt;1,N347&gt;1))</f>
        <v>1</v>
      </c>
      <c r="Z347" s="1">
        <v>0</v>
      </c>
      <c r="AG347" s="1">
        <f t="shared" si="98"/>
        <v>283012</v>
      </c>
    </row>
    <row r="348" spans="1:34" ht="24.95" customHeight="1">
      <c r="A348" s="85">
        <v>22</v>
      </c>
      <c r="B348" s="92">
        <v>1846300840</v>
      </c>
      <c r="C348" s="109" t="str">
        <f t="shared" si="87"/>
        <v>840</v>
      </c>
      <c r="D348" s="109" t="str">
        <f t="shared" ref="D348:D355" si="104">MID(B348,2,6)</f>
        <v>846300</v>
      </c>
      <c r="E348" s="93" t="s">
        <v>626</v>
      </c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>
        <f>VLOOKUP(B:B,'[3]תשלומים 2017'!B:R,15,0)</f>
        <v>13000</v>
      </c>
      <c r="Q348" s="95">
        <f>VLOOKUP(B:B,'[3]דוח כספי 10.17 מעודכן'!A:D,4,0)</f>
        <v>10714</v>
      </c>
      <c r="R348" s="95">
        <f>VLOOKUP(B:B,'[3]תשלומים 2017'!B:T,17,0)</f>
        <v>13000</v>
      </c>
      <c r="S348" s="95">
        <f t="shared" ref="S348:S355" si="105">Q348/10*12</f>
        <v>12856.800000000001</v>
      </c>
      <c r="T348" s="95">
        <v>13000</v>
      </c>
      <c r="U348" s="110"/>
      <c r="V348" s="110"/>
      <c r="W348" s="97"/>
      <c r="X348" s="91"/>
      <c r="Y348" s="85"/>
      <c r="Z348" s="98"/>
      <c r="AA348" s="85"/>
      <c r="AB348" s="85"/>
      <c r="AC348" s="85"/>
      <c r="AD348" s="85"/>
      <c r="AE348" s="85"/>
      <c r="AF348" s="85"/>
      <c r="AG348" s="83">
        <f t="shared" si="98"/>
        <v>2286</v>
      </c>
    </row>
    <row r="349" spans="1:34" ht="24.95" customHeight="1">
      <c r="A349" s="85">
        <v>22</v>
      </c>
      <c r="B349" s="92">
        <v>1846310840</v>
      </c>
      <c r="C349" s="109" t="str">
        <f t="shared" si="87"/>
        <v>840</v>
      </c>
      <c r="D349" s="109" t="str">
        <f t="shared" si="104"/>
        <v>846310</v>
      </c>
      <c r="E349" s="93" t="s">
        <v>627</v>
      </c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>
        <f>VLOOKUP(B:B,'[3]תשלומים 2017'!B:R,15,0)</f>
        <v>0</v>
      </c>
      <c r="Q349" s="95">
        <f>VLOOKUP(B:B,'[3]דוח כספי 10.17 מעודכן'!A:D,4,0)</f>
        <v>0</v>
      </c>
      <c r="R349" s="95">
        <f>VLOOKUP(B:B,'[3]תשלומים 2017'!B:T,17,0)</f>
        <v>0</v>
      </c>
      <c r="S349" s="95">
        <f t="shared" si="105"/>
        <v>0</v>
      </c>
      <c r="T349" s="95">
        <v>0</v>
      </c>
      <c r="U349" s="110"/>
      <c r="V349" s="110"/>
      <c r="W349" s="97"/>
      <c r="X349" s="91"/>
      <c r="Y349" s="85"/>
      <c r="Z349" s="98"/>
      <c r="AA349" s="85"/>
      <c r="AB349" s="85"/>
      <c r="AC349" s="85"/>
      <c r="AD349" s="85"/>
      <c r="AE349" s="85"/>
      <c r="AF349" s="85"/>
      <c r="AG349" s="83">
        <f t="shared" si="98"/>
        <v>0</v>
      </c>
    </row>
    <row r="350" spans="1:34" ht="24.95" customHeight="1">
      <c r="A350" s="85">
        <v>22</v>
      </c>
      <c r="B350" s="92">
        <v>1846350840</v>
      </c>
      <c r="C350" s="109" t="str">
        <f t="shared" si="87"/>
        <v>840</v>
      </c>
      <c r="D350" s="109" t="str">
        <f t="shared" si="104"/>
        <v>846350</v>
      </c>
      <c r="E350" s="93" t="s">
        <v>628</v>
      </c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>
        <f>VLOOKUP(B:B,'[3]תשלומים 2017'!B:R,15,0)</f>
        <v>0</v>
      </c>
      <c r="Q350" s="95">
        <f>VLOOKUP(B:B,'[3]דוח כספי 10.17 מעודכן'!A:D,4,0)</f>
        <v>0</v>
      </c>
      <c r="R350" s="95">
        <f>VLOOKUP(B:B,'[3]תשלומים 2017'!B:T,17,0)</f>
        <v>0</v>
      </c>
      <c r="S350" s="95">
        <f t="shared" si="105"/>
        <v>0</v>
      </c>
      <c r="T350" s="95">
        <v>0</v>
      </c>
      <c r="U350" s="110"/>
      <c r="V350" s="110"/>
      <c r="W350" s="97"/>
      <c r="X350" s="91"/>
      <c r="Y350" s="85"/>
      <c r="Z350" s="98"/>
      <c r="AA350" s="85"/>
      <c r="AB350" s="85"/>
      <c r="AC350" s="85"/>
      <c r="AD350" s="85"/>
      <c r="AE350" s="85"/>
      <c r="AF350" s="85"/>
      <c r="AG350" s="83">
        <f t="shared" si="98"/>
        <v>0</v>
      </c>
    </row>
    <row r="351" spans="1:34" ht="24.95" customHeight="1">
      <c r="A351" s="85">
        <v>22</v>
      </c>
      <c r="B351" s="92">
        <v>1846600840</v>
      </c>
      <c r="C351" s="109" t="str">
        <f t="shared" si="87"/>
        <v>840</v>
      </c>
      <c r="D351" s="109" t="str">
        <f t="shared" si="104"/>
        <v>846600</v>
      </c>
      <c r="E351" s="93" t="s">
        <v>629</v>
      </c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>
        <f>VLOOKUP(B:B,'[3]תשלומים 2017'!B:R,15,0)</f>
        <v>0</v>
      </c>
      <c r="Q351" s="95">
        <f>VLOOKUP(B:B,'[3]דוח כספי 10.17 מעודכן'!A:D,4,0)</f>
        <v>27181</v>
      </c>
      <c r="R351" s="95">
        <f>VLOOKUP(B:B,'[3]תשלומים 2017'!B:T,17,0)</f>
        <v>33000</v>
      </c>
      <c r="S351" s="95">
        <f t="shared" si="105"/>
        <v>32617.199999999997</v>
      </c>
      <c r="T351" s="95">
        <v>33000</v>
      </c>
      <c r="U351" s="110"/>
      <c r="V351" s="110"/>
      <c r="W351" s="97"/>
      <c r="X351" s="91"/>
      <c r="Y351" s="85"/>
      <c r="Z351" s="98"/>
      <c r="AA351" s="85"/>
      <c r="AB351" s="85"/>
      <c r="AC351" s="85"/>
      <c r="AD351" s="85"/>
      <c r="AE351" s="85"/>
      <c r="AF351" s="85"/>
      <c r="AG351" s="83">
        <f t="shared" si="98"/>
        <v>-27181</v>
      </c>
    </row>
    <row r="352" spans="1:34" ht="24.95" customHeight="1">
      <c r="A352" s="85">
        <v>22</v>
      </c>
      <c r="B352" s="92">
        <v>1846610810</v>
      </c>
      <c r="C352" s="109" t="str">
        <f t="shared" si="87"/>
        <v>810</v>
      </c>
      <c r="D352" s="109" t="str">
        <f t="shared" si="104"/>
        <v>846610</v>
      </c>
      <c r="E352" s="93" t="s">
        <v>630</v>
      </c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>
        <f>VLOOKUP(B:B,'[3]תשלומים 2017'!B:R,15,0)</f>
        <v>100000</v>
      </c>
      <c r="Q352" s="95">
        <f>VLOOKUP(B:B,'[3]דוח כספי 10.17 מעודכן'!A:D,4,0)</f>
        <v>80924</v>
      </c>
      <c r="R352" s="95">
        <f>VLOOKUP(B:B,'[3]תשלומים 2017'!B:T,17,0)</f>
        <v>97000</v>
      </c>
      <c r="S352" s="95">
        <f t="shared" si="105"/>
        <v>97108.799999999988</v>
      </c>
      <c r="T352" s="95">
        <v>97000</v>
      </c>
      <c r="U352" s="110"/>
      <c r="V352" s="110"/>
      <c r="W352" s="97"/>
      <c r="X352" s="91"/>
      <c r="Y352" s="85"/>
      <c r="Z352" s="98"/>
      <c r="AA352" s="85"/>
      <c r="AB352" s="85"/>
      <c r="AC352" s="85"/>
      <c r="AD352" s="85"/>
      <c r="AE352" s="85"/>
      <c r="AF352" s="85"/>
      <c r="AG352" s="83">
        <f t="shared" si="98"/>
        <v>19076</v>
      </c>
    </row>
    <row r="353" spans="1:33" ht="24.95" customHeight="1">
      <c r="A353" s="85">
        <v>22</v>
      </c>
      <c r="B353" s="92">
        <v>1846610840</v>
      </c>
      <c r="C353" s="109" t="str">
        <f t="shared" si="87"/>
        <v>840</v>
      </c>
      <c r="D353" s="109" t="str">
        <f t="shared" si="104"/>
        <v>846610</v>
      </c>
      <c r="E353" s="93" t="s">
        <v>631</v>
      </c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>
        <f>VLOOKUP(B:B,'[3]תשלומים 2017'!B:R,15,0)</f>
        <v>0</v>
      </c>
      <c r="Q353" s="95">
        <f>VLOOKUP(B:B,'[3]דוח כספי 10.17 מעודכן'!A:D,4,0)</f>
        <v>13026</v>
      </c>
      <c r="R353" s="95">
        <f>VLOOKUP(B:B,'[3]תשלומים 2017'!B:T,17,0)</f>
        <v>16000</v>
      </c>
      <c r="S353" s="95">
        <f t="shared" si="105"/>
        <v>15631.199999999999</v>
      </c>
      <c r="T353" s="95">
        <v>16000</v>
      </c>
      <c r="U353" s="110"/>
      <c r="V353" s="110"/>
      <c r="W353" s="97"/>
      <c r="X353" s="91"/>
      <c r="Y353" s="85"/>
      <c r="Z353" s="98"/>
      <c r="AA353" s="85"/>
      <c r="AB353" s="85"/>
      <c r="AC353" s="85"/>
      <c r="AD353" s="85"/>
      <c r="AE353" s="85"/>
      <c r="AF353" s="85"/>
      <c r="AG353" s="83">
        <f t="shared" si="98"/>
        <v>-13026</v>
      </c>
    </row>
    <row r="354" spans="1:33" ht="24.95" customHeight="1">
      <c r="A354" s="85">
        <v>22</v>
      </c>
      <c r="B354" s="92">
        <v>1846800810</v>
      </c>
      <c r="C354" s="109" t="str">
        <f t="shared" si="87"/>
        <v>810</v>
      </c>
      <c r="D354" s="109" t="str">
        <f t="shared" si="104"/>
        <v>846800</v>
      </c>
      <c r="E354" s="93" t="s">
        <v>315</v>
      </c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>
        <f>VLOOKUP(B:B,'[3]תשלומים 2017'!B:R,15,0)</f>
        <v>17000</v>
      </c>
      <c r="Q354" s="95">
        <f>VLOOKUP(B:B,'[3]דוח כספי 10.17 מעודכן'!A:D,4,0)</f>
        <v>48160</v>
      </c>
      <c r="R354" s="95">
        <f>VLOOKUP(B:B,'[3]תשלומים 2017'!B:T,17,0)</f>
        <v>58000</v>
      </c>
      <c r="S354" s="95">
        <f t="shared" si="105"/>
        <v>57792</v>
      </c>
      <c r="T354" s="95">
        <v>58000</v>
      </c>
      <c r="U354" s="110"/>
      <c r="V354" s="110"/>
      <c r="W354" s="97"/>
      <c r="X354" s="91"/>
      <c r="Y354" s="85"/>
      <c r="Z354" s="98"/>
      <c r="AA354" s="85"/>
      <c r="AB354" s="85"/>
      <c r="AC354" s="85"/>
      <c r="AD354" s="85"/>
      <c r="AE354" s="85"/>
      <c r="AF354" s="85"/>
      <c r="AG354" s="83">
        <f t="shared" si="98"/>
        <v>-31160</v>
      </c>
    </row>
    <row r="355" spans="1:33" ht="24.95" customHeight="1">
      <c r="A355" s="85">
        <v>22</v>
      </c>
      <c r="B355" s="92">
        <v>1846800840</v>
      </c>
      <c r="C355" s="109" t="str">
        <f t="shared" si="87"/>
        <v>840</v>
      </c>
      <c r="D355" s="109" t="str">
        <f t="shared" si="104"/>
        <v>846800</v>
      </c>
      <c r="E355" s="93" t="s">
        <v>632</v>
      </c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>
        <f>VLOOKUP(B:B,'[3]תשלומים 2017'!B:R,15,0)</f>
        <v>217000</v>
      </c>
      <c r="Q355" s="95">
        <f>VLOOKUP(B:B,'[3]דוח כספי 10.17 מעודכן'!A:D,4,0)</f>
        <v>253325</v>
      </c>
      <c r="R355" s="95">
        <f>VLOOKUP(B:B,'[3]תשלומים 2017'!B:T,17,0)</f>
        <v>304000</v>
      </c>
      <c r="S355" s="95">
        <f t="shared" si="105"/>
        <v>303990</v>
      </c>
      <c r="T355" s="95">
        <v>304000</v>
      </c>
      <c r="U355" s="110"/>
      <c r="V355" s="110"/>
      <c r="W355" s="97"/>
      <c r="X355" s="91"/>
      <c r="Y355" s="85"/>
      <c r="Z355" s="98"/>
      <c r="AA355" s="85"/>
      <c r="AB355" s="85"/>
      <c r="AC355" s="85"/>
      <c r="AD355" s="85"/>
      <c r="AE355" s="85"/>
      <c r="AF355" s="85"/>
      <c r="AG355" s="83">
        <f t="shared" si="98"/>
        <v>-36325</v>
      </c>
    </row>
    <row r="356" spans="1:33" s="1" customFormat="1" ht="24.95" customHeight="1">
      <c r="B356" s="28"/>
      <c r="C356" s="29"/>
      <c r="D356" s="29"/>
      <c r="E356" s="29" t="s">
        <v>633</v>
      </c>
      <c r="F356" s="30" t="e">
        <f>SUM(#REF!)</f>
        <v>#REF!</v>
      </c>
      <c r="G356" s="30" t="e">
        <f>SUM(#REF!)</f>
        <v>#REF!</v>
      </c>
      <c r="H356" s="30" t="e">
        <f>SUM(#REF!)</f>
        <v>#REF!</v>
      </c>
      <c r="I356" s="30" t="e">
        <f>SUM(#REF!)</f>
        <v>#REF!</v>
      </c>
      <c r="J356" s="30" t="e">
        <f>SUM(#REF!)</f>
        <v>#REF!</v>
      </c>
      <c r="K356" s="30" t="e">
        <f>SUM(#REF!)</f>
        <v>#REF!</v>
      </c>
      <c r="L356" s="30" t="e">
        <f>SUM(#REF!)</f>
        <v>#REF!</v>
      </c>
      <c r="M356" s="30" t="e">
        <f>SUM(#REF!)</f>
        <v>#REF!</v>
      </c>
      <c r="N356" s="30" t="e">
        <f>SUM(#REF!)</f>
        <v>#REF!</v>
      </c>
      <c r="O356" s="30" t="e">
        <f>SUM(#REF!)</f>
        <v>#REF!</v>
      </c>
      <c r="P356" s="30">
        <f t="shared" ref="P356:V356" si="106">SUM(P348:P355)</f>
        <v>347000</v>
      </c>
      <c r="Q356" s="30">
        <f t="shared" si="106"/>
        <v>433330</v>
      </c>
      <c r="R356" s="30">
        <f t="shared" si="106"/>
        <v>521000</v>
      </c>
      <c r="S356" s="30">
        <f t="shared" si="106"/>
        <v>519996</v>
      </c>
      <c r="T356" s="30">
        <f>SUM(T348:T355)</f>
        <v>521000</v>
      </c>
      <c r="U356" s="112">
        <f t="shared" si="106"/>
        <v>0</v>
      </c>
      <c r="V356" s="112">
        <f t="shared" si="106"/>
        <v>0</v>
      </c>
      <c r="W356" s="22"/>
      <c r="X356" s="23"/>
      <c r="Y356" s="5">
        <f>IF(ISBLANK(B356),1,--OR(L356&gt;1,M356&gt;1,N356&gt;1))</f>
        <v>1</v>
      </c>
      <c r="Z356" s="1">
        <v>0</v>
      </c>
      <c r="AG356" s="1">
        <f t="shared" si="98"/>
        <v>-86330</v>
      </c>
    </row>
    <row r="357" spans="1:33" s="1" customFormat="1" ht="24.95" customHeight="1">
      <c r="B357" s="32"/>
      <c r="C357" s="33"/>
      <c r="D357" s="33"/>
      <c r="E357" s="33" t="s">
        <v>324</v>
      </c>
      <c r="F357" s="34" t="e">
        <f>#REF!+F356+F347+F339+F333+F327+F314</f>
        <v>#REF!</v>
      </c>
      <c r="G357" s="34" t="e">
        <f>#REF!+G356+G347+G339+G333+G327+G314</f>
        <v>#REF!</v>
      </c>
      <c r="H357" s="34" t="e">
        <f>#REF!+H356+H347+H339+H333+H327+H314</f>
        <v>#REF!</v>
      </c>
      <c r="I357" s="34" t="e">
        <f>#REF!+I356+I347+I339+I333+I327+I314</f>
        <v>#REF!</v>
      </c>
      <c r="J357" s="34" t="e">
        <f>#REF!+J356+J347+J339+J333+J327+J314</f>
        <v>#REF!</v>
      </c>
      <c r="K357" s="34" t="e">
        <f>#REF!+K356+K347+K339+K333+K327+K314</f>
        <v>#REF!</v>
      </c>
      <c r="L357" s="34" t="e">
        <f>#REF!+L356+L347+L339+L333+L327+L314</f>
        <v>#REF!</v>
      </c>
      <c r="M357" s="34" t="e">
        <f>#REF!+M356+M347+M339+M333+M327+M314</f>
        <v>#REF!</v>
      </c>
      <c r="N357" s="34" t="e">
        <f>#REF!+N356+N347+N339+N333+N327+N314</f>
        <v>#REF!</v>
      </c>
      <c r="O357" s="34" t="e">
        <f>#REF!+O356+O347+O339+O333+O327+O314</f>
        <v>#REF!</v>
      </c>
      <c r="P357" s="34">
        <f t="shared" ref="P357:S357" si="107">P356+P347+P339+P333+P327+P314</f>
        <v>7862000</v>
      </c>
      <c r="Q357" s="34">
        <f t="shared" si="107"/>
        <v>6940723.6999999993</v>
      </c>
      <c r="R357" s="34">
        <f t="shared" si="107"/>
        <v>8625000</v>
      </c>
      <c r="S357" s="34">
        <f t="shared" si="107"/>
        <v>8532854.0080000013</v>
      </c>
      <c r="T357" s="34">
        <f>T356+T347+T339+T333+T327+T314</f>
        <v>8643000</v>
      </c>
      <c r="U357" s="123">
        <f t="shared" ref="U357:V357" si="108">U356+U347+U339+U333+U327+U314</f>
        <v>11.85</v>
      </c>
      <c r="V357" s="123">
        <f t="shared" si="108"/>
        <v>12.08</v>
      </c>
      <c r="W357" s="22"/>
      <c r="X357" s="23"/>
      <c r="Y357" s="5">
        <f>IF(ISBLANK(B357),1,--OR(L357&gt;1,M357&gt;1,N357&gt;1))</f>
        <v>1</v>
      </c>
      <c r="Z357" s="1">
        <v>0</v>
      </c>
      <c r="AG357" s="1">
        <f t="shared" si="98"/>
        <v>921276.30000000075</v>
      </c>
    </row>
    <row r="358" spans="1:33" ht="24.95" customHeight="1">
      <c r="A358" s="85"/>
      <c r="B358" s="135"/>
      <c r="C358" s="87" t="s">
        <v>634</v>
      </c>
      <c r="D358" s="87"/>
      <c r="E358" s="87"/>
      <c r="F358" s="87"/>
      <c r="G358" s="87"/>
      <c r="H358" s="87"/>
      <c r="I358" s="88"/>
      <c r="J358" s="95"/>
      <c r="K358" s="124"/>
      <c r="L358" s="124"/>
      <c r="M358" s="124"/>
      <c r="N358" s="124"/>
      <c r="O358" s="95"/>
      <c r="P358" s="95"/>
      <c r="Q358" s="95"/>
      <c r="R358" s="95"/>
      <c r="S358" s="95"/>
      <c r="T358" s="124"/>
      <c r="U358" s="89"/>
      <c r="V358" s="89"/>
      <c r="W358" s="90"/>
      <c r="X358" s="91"/>
      <c r="Y358" s="85">
        <f>IF(ISBLANK(B358),1,--OR(L358&gt;1,M358&gt;1,N358&gt;1))</f>
        <v>1</v>
      </c>
      <c r="Z358" s="98">
        <f>+Q358-N358</f>
        <v>0</v>
      </c>
      <c r="AA358" s="85"/>
      <c r="AB358" s="85"/>
      <c r="AC358" s="85"/>
      <c r="AD358" s="85"/>
      <c r="AE358" s="85"/>
      <c r="AF358" s="85"/>
      <c r="AG358" s="83">
        <f t="shared" si="98"/>
        <v>0</v>
      </c>
    </row>
    <row r="359" spans="1:33" ht="24.95" customHeight="1">
      <c r="A359" s="85">
        <v>15</v>
      </c>
      <c r="B359" s="92">
        <v>1850000431</v>
      </c>
      <c r="C359" s="109" t="str">
        <f>MID(B359,8,3)</f>
        <v>431</v>
      </c>
      <c r="D359" s="109" t="str">
        <f>MID(B359,2,6)</f>
        <v>850000</v>
      </c>
      <c r="E359" s="93" t="s">
        <v>635</v>
      </c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>
        <f>VLOOKUP(B:B,'[3]תשלומים 2017'!B:R,15,0)</f>
        <v>96000</v>
      </c>
      <c r="Q359" s="95">
        <f>VLOOKUP(B:B,'[3]דוח כספי 10.17 מעודכן'!A:D,4,0)</f>
        <v>61587.82</v>
      </c>
      <c r="R359" s="95">
        <f>VLOOKUP(B:B,'[3]תשלומים 2017'!B:T,17,0)</f>
        <v>74000</v>
      </c>
      <c r="S359" s="95">
        <f>Q359/10*12</f>
        <v>73905.384000000005</v>
      </c>
      <c r="T359" s="95">
        <v>74000</v>
      </c>
      <c r="U359" s="110"/>
      <c r="V359" s="110"/>
      <c r="W359" s="97"/>
      <c r="X359" s="91"/>
      <c r="Y359" s="85"/>
      <c r="Z359" s="98"/>
      <c r="AA359" s="85"/>
      <c r="AB359" s="85"/>
      <c r="AC359" s="85"/>
      <c r="AD359" s="85"/>
      <c r="AE359" s="85"/>
      <c r="AF359" s="85"/>
      <c r="AG359" s="83">
        <f t="shared" si="98"/>
        <v>34412.18</v>
      </c>
    </row>
    <row r="360" spans="1:33" s="108" customFormat="1" ht="24.95" customHeight="1">
      <c r="A360" s="99">
        <v>15</v>
      </c>
      <c r="B360" s="100">
        <v>1853000432</v>
      </c>
      <c r="C360" s="101" t="str">
        <f>MID(B360,8,3)</f>
        <v>432</v>
      </c>
      <c r="D360" s="101" t="str">
        <f>MID(B360,2,6)</f>
        <v>853000</v>
      </c>
      <c r="E360" s="102" t="s">
        <v>636</v>
      </c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>
        <f>VLOOKUP(B:B,'[3]תשלומים 2017'!B:R,15,0)</f>
        <v>38000</v>
      </c>
      <c r="Q360" s="103">
        <f>VLOOKUP(B:B,'[3]דוח כספי 10.17 מעודכן'!A:D,4,0)</f>
        <v>45622.7</v>
      </c>
      <c r="R360" s="103">
        <f>VLOOKUP(B:B,'[3]תשלומים 2017'!B:T,17,0)</f>
        <v>46000</v>
      </c>
      <c r="S360" s="103">
        <f>Q360/10*12</f>
        <v>54747.239999999991</v>
      </c>
      <c r="T360" s="103">
        <v>46000</v>
      </c>
      <c r="U360" s="104"/>
      <c r="V360" s="104"/>
      <c r="W360" s="105"/>
      <c r="X360" s="106"/>
      <c r="Y360" s="99"/>
      <c r="Z360" s="107"/>
      <c r="AA360" s="99"/>
      <c r="AB360" s="99"/>
      <c r="AC360" s="99"/>
      <c r="AD360" s="99"/>
      <c r="AE360" s="99"/>
      <c r="AF360" s="99"/>
      <c r="AG360" s="115">
        <f t="shared" si="98"/>
        <v>-7622.6999999999971</v>
      </c>
    </row>
    <row r="361" spans="1:33" ht="24.95" customHeight="1">
      <c r="A361" s="85">
        <v>15</v>
      </c>
      <c r="B361" s="92">
        <v>1853000750</v>
      </c>
      <c r="C361" s="109" t="str">
        <f>MID(B361,8,3)</f>
        <v>750</v>
      </c>
      <c r="D361" s="109" t="str">
        <f>MID(B361,2,6)</f>
        <v>853000</v>
      </c>
      <c r="E361" s="93" t="s">
        <v>637</v>
      </c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>
        <f>VLOOKUP(B:B,'[3]תשלומים 2017'!B:R,15,0)</f>
        <v>0</v>
      </c>
      <c r="Q361" s="95">
        <f>VLOOKUP(B:B,'[3]דוח כספי 10.17 מעודכן'!A:D,4,0)</f>
        <v>0</v>
      </c>
      <c r="R361" s="95">
        <f>VLOOKUP(B:B,'[3]תשלומים 2017'!B:T,17,0)</f>
        <v>0</v>
      </c>
      <c r="S361" s="95">
        <f>Q361/10*12</f>
        <v>0</v>
      </c>
      <c r="T361" s="95">
        <v>0</v>
      </c>
      <c r="U361" s="110"/>
      <c r="V361" s="110"/>
      <c r="W361" s="97"/>
      <c r="X361" s="91"/>
      <c r="Y361" s="85"/>
      <c r="Z361" s="98"/>
      <c r="AA361" s="85"/>
      <c r="AB361" s="85"/>
      <c r="AC361" s="85"/>
      <c r="AD361" s="85"/>
      <c r="AE361" s="85"/>
      <c r="AF361" s="85"/>
      <c r="AG361" s="83">
        <f t="shared" si="98"/>
        <v>0</v>
      </c>
    </row>
    <row r="362" spans="1:33" ht="24.95" customHeight="1">
      <c r="A362" s="85">
        <v>15</v>
      </c>
      <c r="B362" s="92">
        <v>1853000810</v>
      </c>
      <c r="C362" s="109" t="str">
        <f>MID(B362,8,3)</f>
        <v>810</v>
      </c>
      <c r="D362" s="109" t="str">
        <f>MID(B362,2,6)</f>
        <v>853000</v>
      </c>
      <c r="E362" s="93" t="s">
        <v>638</v>
      </c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>
        <f>VLOOKUP(B:B,'[3]תשלומים 2017'!B:R,15,0)</f>
        <v>3000</v>
      </c>
      <c r="Q362" s="95">
        <f>VLOOKUP(B:B,'[3]דוח כספי 10.17 מעודכן'!A:D,4,0)</f>
        <v>0</v>
      </c>
      <c r="R362" s="95">
        <f>VLOOKUP(B:B,'[3]תשלומים 2017'!B:T,17,0)</f>
        <v>0</v>
      </c>
      <c r="S362" s="95">
        <f>Q362/10*12</f>
        <v>0</v>
      </c>
      <c r="T362" s="95">
        <v>0</v>
      </c>
      <c r="U362" s="110"/>
      <c r="V362" s="110"/>
      <c r="W362" s="97"/>
      <c r="X362" s="91"/>
      <c r="Y362" s="85"/>
      <c r="Z362" s="98"/>
      <c r="AA362" s="85"/>
      <c r="AB362" s="85"/>
      <c r="AC362" s="85"/>
      <c r="AD362" s="85"/>
      <c r="AE362" s="85"/>
      <c r="AF362" s="85"/>
      <c r="AG362" s="83">
        <f t="shared" si="98"/>
        <v>3000</v>
      </c>
    </row>
    <row r="363" spans="1:33" ht="24.95" customHeight="1">
      <c r="A363" s="85">
        <v>15</v>
      </c>
      <c r="B363" s="92">
        <v>1853000820</v>
      </c>
      <c r="C363" s="109" t="str">
        <f>MID(B363,8,3)</f>
        <v>820</v>
      </c>
      <c r="D363" s="109" t="str">
        <f>MID(B363,2,6)</f>
        <v>853000</v>
      </c>
      <c r="E363" s="93" t="s">
        <v>639</v>
      </c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>
        <f>VLOOKUP(B:B,'[3]תשלומים 2017'!B:R,15,0)</f>
        <v>0</v>
      </c>
      <c r="Q363" s="95">
        <f>VLOOKUP(B:B,'[3]דוח כספי 10.17 מעודכן'!A:D,4,0)</f>
        <v>0</v>
      </c>
      <c r="R363" s="95">
        <f>VLOOKUP(B:B,'[3]תשלומים 2017'!B:T,17,0)</f>
        <v>0</v>
      </c>
      <c r="S363" s="95">
        <f>Q363/10*12</f>
        <v>0</v>
      </c>
      <c r="T363" s="95">
        <v>0</v>
      </c>
      <c r="U363" s="110"/>
      <c r="V363" s="110"/>
      <c r="W363" s="97"/>
      <c r="X363" s="91"/>
      <c r="Y363" s="85"/>
      <c r="Z363" s="98"/>
      <c r="AA363" s="85"/>
      <c r="AB363" s="85"/>
      <c r="AC363" s="85"/>
      <c r="AD363" s="85"/>
      <c r="AE363" s="85"/>
      <c r="AF363" s="85"/>
      <c r="AG363" s="83">
        <f t="shared" si="98"/>
        <v>0</v>
      </c>
    </row>
    <row r="364" spans="1:33" s="1" customFormat="1" ht="24.95" customHeight="1">
      <c r="B364" s="32"/>
      <c r="C364" s="33"/>
      <c r="D364" s="33"/>
      <c r="E364" s="33" t="s">
        <v>640</v>
      </c>
      <c r="F364" s="34">
        <f t="shared" ref="F364:V364" si="109">SUM(F363:F363)</f>
        <v>0</v>
      </c>
      <c r="G364" s="34">
        <f t="shared" si="109"/>
        <v>0</v>
      </c>
      <c r="H364" s="34">
        <f t="shared" si="109"/>
        <v>0</v>
      </c>
      <c r="I364" s="34">
        <f t="shared" si="109"/>
        <v>0</v>
      </c>
      <c r="J364" s="34">
        <f t="shared" si="109"/>
        <v>0</v>
      </c>
      <c r="K364" s="34">
        <f t="shared" si="109"/>
        <v>0</v>
      </c>
      <c r="L364" s="34">
        <f t="shared" si="109"/>
        <v>0</v>
      </c>
      <c r="M364" s="34">
        <f t="shared" si="109"/>
        <v>0</v>
      </c>
      <c r="N364" s="34">
        <f t="shared" si="109"/>
        <v>0</v>
      </c>
      <c r="O364" s="34">
        <f t="shared" si="109"/>
        <v>0</v>
      </c>
      <c r="P364" s="34">
        <f t="shared" ref="P364:S364" si="110">SUM(P359:P363)</f>
        <v>137000</v>
      </c>
      <c r="Q364" s="34">
        <f t="shared" si="110"/>
        <v>107210.51999999999</v>
      </c>
      <c r="R364" s="34">
        <f t="shared" si="110"/>
        <v>120000</v>
      </c>
      <c r="S364" s="34">
        <f t="shared" si="110"/>
        <v>128652.624</v>
      </c>
      <c r="T364" s="34">
        <f>SUM(T359:T363)</f>
        <v>120000</v>
      </c>
      <c r="U364" s="123">
        <f t="shared" si="109"/>
        <v>0</v>
      </c>
      <c r="V364" s="123">
        <f t="shared" si="109"/>
        <v>0</v>
      </c>
      <c r="W364" s="22"/>
      <c r="X364" s="23"/>
      <c r="Y364" s="5">
        <f>IF(ISBLANK(B364),1,--OR(L364&gt;1,M364&gt;1,N364&gt;1))</f>
        <v>1</v>
      </c>
      <c r="Z364" s="1">
        <f>+Q364-N364</f>
        <v>107210.51999999999</v>
      </c>
      <c r="AG364" s="1">
        <f t="shared" si="98"/>
        <v>29789.48000000001</v>
      </c>
    </row>
    <row r="365" spans="1:33" ht="24.95" customHeight="1">
      <c r="A365" s="85"/>
      <c r="B365" s="135"/>
      <c r="C365" s="87" t="s">
        <v>641</v>
      </c>
      <c r="D365" s="87"/>
      <c r="E365" s="87"/>
      <c r="F365" s="87"/>
      <c r="G365" s="87"/>
      <c r="H365" s="87"/>
      <c r="I365" s="88"/>
      <c r="J365" s="94"/>
      <c r="K365" s="94"/>
      <c r="L365" s="94"/>
      <c r="M365" s="136"/>
      <c r="N365" s="136"/>
      <c r="O365" s="95"/>
      <c r="P365" s="124"/>
      <c r="Q365" s="124"/>
      <c r="R365" s="124"/>
      <c r="S365" s="124"/>
      <c r="T365" s="124"/>
      <c r="U365" s="89"/>
      <c r="V365" s="89"/>
      <c r="W365" s="90"/>
      <c r="X365" s="91"/>
      <c r="Y365" s="85">
        <f>IF(ISBLANK(B365),1,--OR(L365&gt;1,M365&gt;1,N365&gt;1))</f>
        <v>1</v>
      </c>
      <c r="Z365" s="98">
        <f>+Q365-N365</f>
        <v>0</v>
      </c>
      <c r="AA365" s="85"/>
      <c r="AB365" s="85"/>
      <c r="AC365" s="85"/>
      <c r="AD365" s="85"/>
      <c r="AE365" s="85"/>
      <c r="AF365" s="85"/>
      <c r="AG365" s="83">
        <f t="shared" si="98"/>
        <v>0</v>
      </c>
    </row>
    <row r="366" spans="1:33" ht="24.95" customHeight="1">
      <c r="A366" s="85">
        <v>16</v>
      </c>
      <c r="B366" s="92">
        <v>1912000110</v>
      </c>
      <c r="C366" s="109" t="str">
        <f t="shared" ref="C366:C394" si="111">MID(B366,8,3)</f>
        <v>110</v>
      </c>
      <c r="D366" s="109" t="str">
        <f t="shared" ref="D366:D394" si="112">MID(B366,2,6)</f>
        <v>912000</v>
      </c>
      <c r="E366" s="93" t="s">
        <v>642</v>
      </c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>
        <f>VLOOKUP(B:B,'[3]תשלומים 2017'!B:R,15,0)</f>
        <v>122000</v>
      </c>
      <c r="Q366" s="95">
        <f>VLOOKUP(B:B,'[3]דוח כספי 31.10'!A:D,4,0)</f>
        <v>30562.35</v>
      </c>
      <c r="R366" s="95">
        <f>VLOOKUP(B:B,'[3]תשלומים 2017'!B:T,17,0)</f>
        <v>41000</v>
      </c>
      <c r="S366" s="95">
        <f>Q366/9*12</f>
        <v>40749.800000000003</v>
      </c>
      <c r="T366" s="95">
        <v>68000</v>
      </c>
      <c r="U366" s="96">
        <v>0.33</v>
      </c>
      <c r="V366" s="96">
        <v>0.33</v>
      </c>
      <c r="W366" s="97"/>
      <c r="X366" s="91"/>
      <c r="Y366" s="85"/>
      <c r="Z366" s="98"/>
      <c r="AA366" s="85"/>
      <c r="AB366" s="85"/>
      <c r="AC366" s="85"/>
      <c r="AD366" s="85"/>
      <c r="AE366" s="85"/>
      <c r="AF366" s="85"/>
      <c r="AG366"/>
    </row>
    <row r="367" spans="1:33" ht="24.95" customHeight="1">
      <c r="A367" s="85">
        <v>27</v>
      </c>
      <c r="B367" s="92">
        <v>1913000540</v>
      </c>
      <c r="C367" s="109" t="str">
        <f t="shared" si="111"/>
        <v>540</v>
      </c>
      <c r="D367" s="109" t="str">
        <f t="shared" si="112"/>
        <v>913000</v>
      </c>
      <c r="E367" s="93" t="s">
        <v>438</v>
      </c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>
        <f>VLOOKUP(B:B,'[3]תשלומים 2017'!B:R,15,0)</f>
        <v>0</v>
      </c>
      <c r="Q367" s="95">
        <f>VLOOKUP(B:B,'[3]דוח כספי 31.10'!A:D,4,0)</f>
        <v>0</v>
      </c>
      <c r="R367" s="95">
        <f>VLOOKUP(B:B,'[3]תשלומים 2017'!B:T,17,0)</f>
        <v>0</v>
      </c>
      <c r="S367" s="95">
        <f>Q367/10*12</f>
        <v>0</v>
      </c>
      <c r="T367" s="95">
        <v>0</v>
      </c>
      <c r="U367" s="110"/>
      <c r="V367" s="110"/>
      <c r="W367" s="97"/>
      <c r="X367" s="91"/>
      <c r="Y367" s="85"/>
      <c r="Z367" s="98"/>
      <c r="AA367" s="85"/>
      <c r="AB367" s="85"/>
      <c r="AC367" s="85"/>
      <c r="AD367" s="85"/>
      <c r="AE367" s="85"/>
      <c r="AF367" s="85"/>
      <c r="AG367" s="83">
        <f>P367-Q367</f>
        <v>0</v>
      </c>
    </row>
    <row r="368" spans="1:33" ht="24.95" customHeight="1">
      <c r="A368" s="85">
        <v>27</v>
      </c>
      <c r="B368" s="92">
        <v>1913000732</v>
      </c>
      <c r="C368" s="109" t="str">
        <f t="shared" si="111"/>
        <v>732</v>
      </c>
      <c r="D368" s="109" t="str">
        <f t="shared" si="112"/>
        <v>913000</v>
      </c>
      <c r="E368" s="93" t="s">
        <v>643</v>
      </c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>
        <f>VLOOKUP(B:B,'[3]תשלומים 2017'!B:R,15,0)</f>
        <v>14000</v>
      </c>
      <c r="Q368" s="95">
        <f>VLOOKUP(B:B,'[3]דוח כספי 31.10'!A:D,4,0)</f>
        <v>7348.9</v>
      </c>
      <c r="R368" s="95">
        <f>VLOOKUP(B:B,'[3]תשלומים 2017'!B:T,17,0)</f>
        <v>9000</v>
      </c>
      <c r="S368" s="95">
        <f>Q368/10*12</f>
        <v>8818.68</v>
      </c>
      <c r="T368" s="95">
        <v>9000</v>
      </c>
      <c r="U368" s="110"/>
      <c r="V368" s="110"/>
      <c r="W368" s="97"/>
      <c r="X368" s="91"/>
      <c r="Y368" s="85"/>
      <c r="Z368" s="98"/>
      <c r="AA368" s="85"/>
      <c r="AB368" s="85"/>
      <c r="AC368" s="85"/>
      <c r="AD368" s="85"/>
      <c r="AE368" s="85"/>
      <c r="AF368" s="85"/>
      <c r="AG368" s="83">
        <f>P368-Q368</f>
        <v>6651.1</v>
      </c>
    </row>
    <row r="369" spans="1:33" ht="24.95" customHeight="1">
      <c r="A369" s="85">
        <v>27</v>
      </c>
      <c r="B369" s="92">
        <v>1913100720</v>
      </c>
      <c r="C369" s="109" t="str">
        <f t="shared" si="111"/>
        <v>720</v>
      </c>
      <c r="D369" s="109" t="str">
        <f t="shared" si="112"/>
        <v>913100</v>
      </c>
      <c r="E369" s="93" t="s">
        <v>644</v>
      </c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>
        <f>VLOOKUP(B:B,'[3]תשלומים 2017'!B:R,15,0)</f>
        <v>3276000</v>
      </c>
      <c r="Q369" s="95">
        <f>VLOOKUP(B:B,'[3]דוח כספי 31.10'!A:D,4,0)</f>
        <v>2427451.65</v>
      </c>
      <c r="R369" s="95">
        <f>VLOOKUP(B:B,'[3]תשלומים 2017'!B:T,17,0)</f>
        <v>2950000</v>
      </c>
      <c r="S369" s="95">
        <f>Q369/10*12</f>
        <v>2912941.9799999995</v>
      </c>
      <c r="T369" s="95">
        <v>2822000</v>
      </c>
      <c r="U369" s="110"/>
      <c r="V369" s="110"/>
      <c r="W369" s="97"/>
      <c r="X369" s="91"/>
      <c r="Y369" s="85"/>
      <c r="Z369" s="98"/>
      <c r="AA369" s="85"/>
      <c r="AB369" s="85"/>
      <c r="AC369" s="85"/>
      <c r="AD369" s="85"/>
      <c r="AE369" s="85"/>
      <c r="AF369" s="85"/>
      <c r="AG369" s="83">
        <f>P369-Q369</f>
        <v>848548.35000000009</v>
      </c>
    </row>
    <row r="370" spans="1:33" ht="24.95" customHeight="1">
      <c r="A370" s="85">
        <v>16</v>
      </c>
      <c r="B370" s="92">
        <v>1913200110</v>
      </c>
      <c r="C370" s="109" t="str">
        <f t="shared" si="111"/>
        <v>110</v>
      </c>
      <c r="D370" s="109" t="str">
        <f t="shared" si="112"/>
        <v>913200</v>
      </c>
      <c r="E370" s="93" t="s">
        <v>540</v>
      </c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>
        <f>VLOOKUP(B:B,'[3]תשלומים 2017'!B:R,15,0)</f>
        <v>196000</v>
      </c>
      <c r="Q370" s="95">
        <f>VLOOKUP(B:B,'[3]דוח כספי 31.10'!A:D,4,0)</f>
        <v>137636.68</v>
      </c>
      <c r="R370" s="95">
        <f>VLOOKUP(B:B,'[3]תשלומים 2017'!B:T,17,0)</f>
        <v>198000</v>
      </c>
      <c r="S370" s="95">
        <f>Q370/9*12</f>
        <v>183515.57333333333</v>
      </c>
      <c r="T370" s="95">
        <v>184000</v>
      </c>
      <c r="U370" s="96">
        <v>1</v>
      </c>
      <c r="V370" s="96">
        <v>1</v>
      </c>
      <c r="W370" s="97"/>
      <c r="X370" s="91"/>
      <c r="Y370" s="85"/>
      <c r="Z370" s="98"/>
      <c r="AA370" s="85"/>
      <c r="AB370" s="85"/>
      <c r="AC370" s="85"/>
      <c r="AD370" s="85"/>
      <c r="AE370" s="85"/>
      <c r="AF370" s="85"/>
      <c r="AG370"/>
    </row>
    <row r="371" spans="1:33" ht="24.95" customHeight="1">
      <c r="A371" s="85">
        <v>27</v>
      </c>
      <c r="B371" s="92">
        <v>1913200431</v>
      </c>
      <c r="C371" s="109" t="str">
        <f t="shared" si="111"/>
        <v>431</v>
      </c>
      <c r="D371" s="109" t="str">
        <f t="shared" si="112"/>
        <v>913200</v>
      </c>
      <c r="E371" s="93" t="s">
        <v>645</v>
      </c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>
        <f>VLOOKUP(B:B,'[3]תשלומים 2017'!B:R,15,0)</f>
        <v>79000</v>
      </c>
      <c r="Q371" s="95">
        <f>VLOOKUP(B:B,'[3]דוח כספי 31.10'!A:D,4,0)</f>
        <v>57602.96</v>
      </c>
      <c r="R371" s="95">
        <f>VLOOKUP(B:B,'[3]תשלומים 2017'!B:T,17,0)</f>
        <v>69000</v>
      </c>
      <c r="S371" s="95">
        <f t="shared" ref="S371:S377" si="113">Q371/10*12</f>
        <v>69123.551999999996</v>
      </c>
      <c r="T371" s="95">
        <v>69000</v>
      </c>
      <c r="U371" s="110"/>
      <c r="V371" s="110"/>
      <c r="W371" s="97"/>
      <c r="X371" s="91"/>
      <c r="Y371" s="85"/>
      <c r="Z371" s="98"/>
      <c r="AA371" s="85"/>
      <c r="AB371" s="85"/>
      <c r="AC371" s="85"/>
      <c r="AD371" s="85"/>
      <c r="AE371" s="85"/>
      <c r="AF371" s="85"/>
      <c r="AG371" s="83">
        <f t="shared" ref="AG371:AG377" si="114">P371-Q371</f>
        <v>21397.040000000001</v>
      </c>
    </row>
    <row r="372" spans="1:33" ht="24.95" customHeight="1">
      <c r="A372" s="85">
        <v>27</v>
      </c>
      <c r="B372" s="92">
        <v>1913200720</v>
      </c>
      <c r="C372" s="109" t="str">
        <f t="shared" si="111"/>
        <v>720</v>
      </c>
      <c r="D372" s="109" t="str">
        <f t="shared" si="112"/>
        <v>913200</v>
      </c>
      <c r="E372" s="93" t="s">
        <v>646</v>
      </c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>
        <f>VLOOKUP(B:B,'[3]תשלומים 2017'!B:R,15,0)</f>
        <v>0</v>
      </c>
      <c r="Q372" s="95">
        <f>VLOOKUP(B:B,'[3]דוח כספי 31.10'!A:D,4,0)</f>
        <v>0</v>
      </c>
      <c r="R372" s="95">
        <f>VLOOKUP(B:B,'[3]תשלומים 2017'!B:T,17,0)</f>
        <v>0</v>
      </c>
      <c r="S372" s="95">
        <f t="shared" si="113"/>
        <v>0</v>
      </c>
      <c r="T372" s="95">
        <v>0</v>
      </c>
      <c r="U372" s="110"/>
      <c r="V372" s="110"/>
      <c r="W372" s="97"/>
      <c r="X372" s="91"/>
      <c r="Y372" s="85"/>
      <c r="Z372" s="98"/>
      <c r="AA372" s="85"/>
      <c r="AB372" s="85"/>
      <c r="AC372" s="85"/>
      <c r="AD372" s="85"/>
      <c r="AE372" s="85"/>
      <c r="AF372" s="85"/>
      <c r="AG372" s="83">
        <f t="shared" si="114"/>
        <v>0</v>
      </c>
    </row>
    <row r="373" spans="1:33" ht="24.95" customHeight="1">
      <c r="A373" s="85">
        <v>27</v>
      </c>
      <c r="B373" s="92">
        <v>1913200731</v>
      </c>
      <c r="C373" s="109" t="str">
        <f t="shared" si="111"/>
        <v>731</v>
      </c>
      <c r="D373" s="109" t="str">
        <f t="shared" si="112"/>
        <v>913200</v>
      </c>
      <c r="E373" s="93" t="s">
        <v>647</v>
      </c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>
        <f>VLOOKUP(B:B,'[3]תשלומים 2017'!B:R,15,0)</f>
        <v>8000</v>
      </c>
      <c r="Q373" s="95">
        <f>VLOOKUP(B:B,'[3]דוח כספי 31.10'!A:D,4,0)</f>
        <v>19172.05</v>
      </c>
      <c r="R373" s="95">
        <f>VLOOKUP(B:B,'[3]תשלומים 2017'!B:T,17,0)</f>
        <v>23000</v>
      </c>
      <c r="S373" s="95">
        <f t="shared" si="113"/>
        <v>23006.46</v>
      </c>
      <c r="T373" s="95">
        <v>23000</v>
      </c>
      <c r="U373" s="110"/>
      <c r="V373" s="110"/>
      <c r="W373" s="97"/>
      <c r="X373" s="91"/>
      <c r="Y373" s="85"/>
      <c r="Z373" s="98"/>
      <c r="AA373" s="85"/>
      <c r="AB373" s="85"/>
      <c r="AC373" s="85"/>
      <c r="AD373" s="85"/>
      <c r="AE373" s="85"/>
      <c r="AF373" s="85"/>
      <c r="AG373" s="83">
        <f t="shared" si="114"/>
        <v>-11172.05</v>
      </c>
    </row>
    <row r="374" spans="1:33" ht="24.95" customHeight="1">
      <c r="A374" s="85">
        <v>27</v>
      </c>
      <c r="B374" s="92">
        <v>1913200750</v>
      </c>
      <c r="C374" s="109" t="str">
        <f t="shared" si="111"/>
        <v>750</v>
      </c>
      <c r="D374" s="109" t="str">
        <f t="shared" si="112"/>
        <v>913200</v>
      </c>
      <c r="E374" s="93" t="s">
        <v>648</v>
      </c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>
        <f>VLOOKUP(B:B,'[3]תשלומים 2017'!B:R,15,0)</f>
        <v>148000</v>
      </c>
      <c r="Q374" s="95">
        <f>VLOOKUP(B:B,'[3]דוח כספי 31.10'!A:D,4,0)</f>
        <v>67623.45</v>
      </c>
      <c r="R374" s="95">
        <f>VLOOKUP(B:B,'[3]תשלומים 2017'!B:T,17,0)</f>
        <v>81000</v>
      </c>
      <c r="S374" s="95">
        <f t="shared" si="113"/>
        <v>81148.139999999985</v>
      </c>
      <c r="T374" s="95">
        <v>81000</v>
      </c>
      <c r="U374" s="110"/>
      <c r="V374" s="110"/>
      <c r="W374" s="97"/>
      <c r="X374" s="91"/>
      <c r="Y374" s="85"/>
      <c r="Z374" s="98"/>
      <c r="AA374" s="85"/>
      <c r="AB374" s="85"/>
      <c r="AC374" s="85"/>
      <c r="AD374" s="85"/>
      <c r="AE374" s="85"/>
      <c r="AF374" s="85"/>
      <c r="AG374" s="83">
        <f t="shared" si="114"/>
        <v>80376.55</v>
      </c>
    </row>
    <row r="375" spans="1:33" ht="24.95" customHeight="1">
      <c r="A375" s="85">
        <v>27</v>
      </c>
      <c r="B375" s="92">
        <v>1913200910</v>
      </c>
      <c r="C375" s="109" t="str">
        <f t="shared" si="111"/>
        <v>910</v>
      </c>
      <c r="D375" s="109" t="str">
        <f t="shared" si="112"/>
        <v>913200</v>
      </c>
      <c r="E375" s="93" t="s">
        <v>363</v>
      </c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>
        <f>VLOOKUP(B:B,'[3]תשלומים 2017'!B:R,15,0)</f>
        <v>0</v>
      </c>
      <c r="Q375" s="95">
        <f>VLOOKUP(B:B,'[3]דוח כספי 31.10'!A:D,4,0)</f>
        <v>0</v>
      </c>
      <c r="R375" s="95">
        <f>VLOOKUP(B:B,'[3]תשלומים 2017'!B:T,17,0)</f>
        <v>0</v>
      </c>
      <c r="S375" s="95">
        <f t="shared" si="113"/>
        <v>0</v>
      </c>
      <c r="T375" s="95">
        <v>0</v>
      </c>
      <c r="U375" s="110"/>
      <c r="V375" s="110"/>
      <c r="W375" s="97"/>
      <c r="X375" s="91"/>
      <c r="Y375" s="85"/>
      <c r="Z375" s="98"/>
      <c r="AA375" s="85"/>
      <c r="AB375" s="85"/>
      <c r="AC375" s="85"/>
      <c r="AD375" s="85"/>
      <c r="AE375" s="85"/>
      <c r="AF375" s="85"/>
      <c r="AG375" s="83">
        <f t="shared" si="114"/>
        <v>0</v>
      </c>
    </row>
    <row r="376" spans="1:33" ht="24.95" customHeight="1">
      <c r="A376" s="85">
        <v>27</v>
      </c>
      <c r="B376" s="92">
        <v>1913200930</v>
      </c>
      <c r="C376" s="109" t="str">
        <f t="shared" si="111"/>
        <v>930</v>
      </c>
      <c r="D376" s="109" t="str">
        <f t="shared" si="112"/>
        <v>913200</v>
      </c>
      <c r="E376" s="93" t="s">
        <v>649</v>
      </c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>
        <f>VLOOKUP(B:B,'[3]תשלומים 2017'!B:R,15,0)</f>
        <v>0</v>
      </c>
      <c r="Q376" s="95">
        <f>VLOOKUP(B:B,'[3]דוח כספי 31.10'!A:D,4,0)</f>
        <v>0</v>
      </c>
      <c r="R376" s="95">
        <f>VLOOKUP(B:B,'[3]תשלומים 2017'!B:T,17,0)</f>
        <v>0</v>
      </c>
      <c r="S376" s="95">
        <f t="shared" si="113"/>
        <v>0</v>
      </c>
      <c r="T376" s="95">
        <v>0</v>
      </c>
      <c r="U376" s="110"/>
      <c r="V376" s="110"/>
      <c r="W376" s="97"/>
      <c r="X376" s="91"/>
      <c r="Y376" s="85"/>
      <c r="Z376" s="98"/>
      <c r="AA376" s="85"/>
      <c r="AB376" s="85"/>
      <c r="AC376" s="85"/>
      <c r="AD376" s="85"/>
      <c r="AE376" s="85"/>
      <c r="AF376" s="85"/>
      <c r="AG376" s="83">
        <f t="shared" si="114"/>
        <v>0</v>
      </c>
    </row>
    <row r="377" spans="1:33" ht="24.95" customHeight="1">
      <c r="A377" s="85">
        <v>27</v>
      </c>
      <c r="B377" s="92">
        <v>1913300731</v>
      </c>
      <c r="C377" s="109" t="str">
        <f t="shared" si="111"/>
        <v>731</v>
      </c>
      <c r="D377" s="109" t="str">
        <f t="shared" si="112"/>
        <v>913300</v>
      </c>
      <c r="E377" s="93" t="s">
        <v>650</v>
      </c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>
        <f>VLOOKUP(B:B,'[3]תשלומים 2017'!B:R,15,0)</f>
        <v>15000</v>
      </c>
      <c r="Q377" s="95">
        <f>VLOOKUP(B:B,'[3]דוח כספי 31.10'!A:D,4,0)</f>
        <v>13200</v>
      </c>
      <c r="R377" s="95">
        <f>VLOOKUP(B:B,'[3]תשלומים 2017'!B:T,17,0)</f>
        <v>16000</v>
      </c>
      <c r="S377" s="95">
        <f t="shared" si="113"/>
        <v>15840</v>
      </c>
      <c r="T377" s="95">
        <v>16000</v>
      </c>
      <c r="U377" s="110"/>
      <c r="V377" s="110"/>
      <c r="W377" s="97"/>
      <c r="X377" s="91"/>
      <c r="Y377" s="85"/>
      <c r="Z377" s="98"/>
      <c r="AA377" s="85"/>
      <c r="AB377" s="85"/>
      <c r="AC377" s="85"/>
      <c r="AD377" s="85"/>
      <c r="AE377" s="85"/>
      <c r="AF377" s="85"/>
      <c r="AG377" s="83">
        <f t="shared" si="114"/>
        <v>1800</v>
      </c>
    </row>
    <row r="378" spans="1:33" ht="24.95" customHeight="1">
      <c r="A378" s="85">
        <v>16</v>
      </c>
      <c r="B378" s="92">
        <v>1970000110</v>
      </c>
      <c r="C378" s="109" t="str">
        <f t="shared" si="111"/>
        <v>110</v>
      </c>
      <c r="D378" s="109" t="str">
        <f t="shared" si="112"/>
        <v>970000</v>
      </c>
      <c r="E378" s="93" t="s">
        <v>651</v>
      </c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>
        <f>VLOOKUP(B:B,'[3]תשלומים 2017'!B:R,15,0)</f>
        <v>137000</v>
      </c>
      <c r="Q378" s="95">
        <f>VLOOKUP(B:B,'[3]דוח כספי 31.10'!A:D,4,0)</f>
        <v>132016.56</v>
      </c>
      <c r="R378" s="95">
        <v>178000</v>
      </c>
      <c r="S378" s="137">
        <f>Q378/9*12</f>
        <v>176022.08</v>
      </c>
      <c r="T378" s="95">
        <v>179000</v>
      </c>
      <c r="U378" s="96">
        <v>1</v>
      </c>
      <c r="V378" s="96">
        <v>1</v>
      </c>
      <c r="W378" s="97"/>
      <c r="X378" s="91"/>
      <c r="Y378" s="85"/>
      <c r="Z378" s="98"/>
      <c r="AA378" s="85"/>
      <c r="AB378" s="85"/>
      <c r="AC378" s="85"/>
      <c r="AD378" s="85"/>
      <c r="AE378" s="85"/>
      <c r="AF378" s="85"/>
      <c r="AG378"/>
    </row>
    <row r="379" spans="1:33" ht="24.95" customHeight="1">
      <c r="A379" s="85">
        <v>27</v>
      </c>
      <c r="B379" s="92">
        <v>1973000431</v>
      </c>
      <c r="C379" s="109" t="str">
        <f t="shared" si="111"/>
        <v>431</v>
      </c>
      <c r="D379" s="109" t="str">
        <f t="shared" si="112"/>
        <v>973000</v>
      </c>
      <c r="E379" s="93" t="s">
        <v>652</v>
      </c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>
        <f>VLOOKUP(B:B,'[3]תשלומים 2017'!B:R,15,0)</f>
        <v>18000</v>
      </c>
      <c r="Q379" s="95">
        <f>VLOOKUP(B:B,'[3]דוח כספי 31.10'!A:D,4,0)</f>
        <v>0</v>
      </c>
      <c r="R379" s="95">
        <v>18000</v>
      </c>
      <c r="S379" s="95">
        <f t="shared" ref="S379:S394" si="115">Q379/10*12</f>
        <v>0</v>
      </c>
      <c r="T379" s="95">
        <v>18000</v>
      </c>
      <c r="U379" s="110"/>
      <c r="V379" s="110"/>
      <c r="W379" s="97"/>
      <c r="X379" s="91"/>
      <c r="Y379" s="85"/>
      <c r="Z379" s="98"/>
      <c r="AA379" s="85"/>
      <c r="AB379" s="85"/>
      <c r="AC379" s="85"/>
      <c r="AD379" s="85"/>
      <c r="AE379" s="85"/>
      <c r="AF379" s="85"/>
      <c r="AG379" s="83">
        <f t="shared" ref="AG379:AG393" si="116">P379-Q379</f>
        <v>18000</v>
      </c>
    </row>
    <row r="380" spans="1:33" ht="24.95" customHeight="1">
      <c r="A380" s="85">
        <v>27</v>
      </c>
      <c r="B380" s="92">
        <v>1973000440</v>
      </c>
      <c r="C380" s="109" t="str">
        <f t="shared" si="111"/>
        <v>440</v>
      </c>
      <c r="D380" s="109" t="str">
        <f t="shared" si="112"/>
        <v>973000</v>
      </c>
      <c r="E380" s="93" t="s">
        <v>354</v>
      </c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>
        <f>VLOOKUP(B:B,'[3]תשלומים 2017'!B:R,15,0)</f>
        <v>27000</v>
      </c>
      <c r="Q380" s="95">
        <f>VLOOKUP(B:B,'[3]דוח כספי 31.10'!A:D,4,0)</f>
        <v>22132</v>
      </c>
      <c r="R380" s="95">
        <f>VLOOKUP(B:B,'[3]תשלומים 2017'!B:T,17,0)</f>
        <v>22000</v>
      </c>
      <c r="S380" s="137">
        <f t="shared" si="115"/>
        <v>26558.399999999998</v>
      </c>
      <c r="T380" s="95">
        <v>22000</v>
      </c>
      <c r="U380" s="110"/>
      <c r="V380" s="110"/>
      <c r="W380" s="97"/>
      <c r="X380" s="91"/>
      <c r="Y380" s="85"/>
      <c r="Z380" s="98"/>
      <c r="AA380" s="85"/>
      <c r="AB380" s="85"/>
      <c r="AC380" s="85"/>
      <c r="AD380" s="85"/>
      <c r="AE380" s="85"/>
      <c r="AF380" s="85"/>
      <c r="AG380" s="83">
        <f t="shared" si="116"/>
        <v>4868</v>
      </c>
    </row>
    <row r="381" spans="1:33" ht="24.95" customHeight="1">
      <c r="A381" s="85">
        <v>23</v>
      </c>
      <c r="B381" s="92">
        <v>1973000691</v>
      </c>
      <c r="C381" s="109" t="str">
        <f t="shared" si="111"/>
        <v>691</v>
      </c>
      <c r="D381" s="109" t="str">
        <f t="shared" si="112"/>
        <v>973000</v>
      </c>
      <c r="E381" s="93" t="s">
        <v>653</v>
      </c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>
        <f>VLOOKUP(B:B,'[3]תשלומים 2017'!B:R,15,0)</f>
        <v>9000</v>
      </c>
      <c r="Q381" s="95">
        <f>VLOOKUP(B:B,'[3]דוח כספי 31.10'!A:D,4,0)</f>
        <v>6561.3</v>
      </c>
      <c r="R381" s="95">
        <f>VLOOKUP(B:B,'[3]תשלומים 2017'!B:T,17,0)</f>
        <v>8000</v>
      </c>
      <c r="S381" s="137">
        <f t="shared" si="115"/>
        <v>7873.5599999999995</v>
      </c>
      <c r="T381" s="95">
        <v>8000</v>
      </c>
      <c r="U381" s="110"/>
      <c r="V381" s="110"/>
      <c r="W381" s="97"/>
      <c r="X381" s="91"/>
      <c r="Y381" s="85"/>
      <c r="Z381" s="98"/>
      <c r="AA381" s="85"/>
      <c r="AB381" s="85"/>
      <c r="AC381" s="85"/>
      <c r="AD381" s="85"/>
      <c r="AE381" s="85"/>
      <c r="AF381" s="85"/>
      <c r="AG381" s="83">
        <f t="shared" si="116"/>
        <v>2438.6999999999998</v>
      </c>
    </row>
    <row r="382" spans="1:33" ht="24.95" customHeight="1">
      <c r="A382" s="85">
        <v>23</v>
      </c>
      <c r="B382" s="92">
        <v>1973000692</v>
      </c>
      <c r="C382" s="109" t="str">
        <f t="shared" si="111"/>
        <v>692</v>
      </c>
      <c r="D382" s="109" t="str">
        <f t="shared" si="112"/>
        <v>973000</v>
      </c>
      <c r="E382" s="93" t="s">
        <v>654</v>
      </c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>
        <f>VLOOKUP(B:B,'[3]תשלומים 2017'!B:R,15,0)</f>
        <v>6000</v>
      </c>
      <c r="Q382" s="95">
        <f>VLOOKUP(B:B,'[3]דוח כספי 31.10'!A:D,4,0)</f>
        <v>4046.99</v>
      </c>
      <c r="R382" s="95">
        <f>VLOOKUP(B:B,'[3]תשלומים 2017'!B:T,17,0)</f>
        <v>5000</v>
      </c>
      <c r="S382" s="137">
        <f t="shared" si="115"/>
        <v>4856.387999999999</v>
      </c>
      <c r="T382" s="95">
        <v>5000</v>
      </c>
      <c r="U382" s="110"/>
      <c r="V382" s="110"/>
      <c r="W382" s="97"/>
      <c r="X382" s="91"/>
      <c r="Y382" s="85"/>
      <c r="Z382" s="98"/>
      <c r="AA382" s="85"/>
      <c r="AB382" s="85"/>
      <c r="AC382" s="85"/>
      <c r="AD382" s="85"/>
      <c r="AE382" s="85"/>
      <c r="AF382" s="85"/>
      <c r="AG382" s="83">
        <f t="shared" si="116"/>
        <v>1953.0100000000002</v>
      </c>
    </row>
    <row r="383" spans="1:33" ht="24.95" customHeight="1">
      <c r="A383" s="85">
        <v>23</v>
      </c>
      <c r="B383" s="92">
        <v>1973000693</v>
      </c>
      <c r="C383" s="109" t="str">
        <f t="shared" si="111"/>
        <v>693</v>
      </c>
      <c r="D383" s="109" t="str">
        <f t="shared" si="112"/>
        <v>973000</v>
      </c>
      <c r="E383" s="93" t="s">
        <v>655</v>
      </c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>
        <f>VLOOKUP(B:B,'[3]תשלומים 2017'!B:R,15,0)</f>
        <v>1000</v>
      </c>
      <c r="Q383" s="95">
        <f>VLOOKUP(B:B,'[3]דוח כספי 31.10'!A:D,4,0)</f>
        <v>961.15</v>
      </c>
      <c r="R383" s="95">
        <f>VLOOKUP(B:B,'[3]תשלומים 2017'!B:T,17,0)</f>
        <v>2000</v>
      </c>
      <c r="S383" s="137">
        <f t="shared" si="115"/>
        <v>1153.3799999999999</v>
      </c>
      <c r="T383" s="95">
        <v>2000</v>
      </c>
      <c r="U383" s="110"/>
      <c r="V383" s="110"/>
      <c r="W383" s="97"/>
      <c r="X383" s="91"/>
      <c r="Y383" s="85"/>
      <c r="Z383" s="98"/>
      <c r="AA383" s="85"/>
      <c r="AB383" s="85"/>
      <c r="AC383" s="85"/>
      <c r="AD383" s="85"/>
      <c r="AE383" s="85"/>
      <c r="AF383" s="85"/>
      <c r="AG383" s="83">
        <f t="shared" si="116"/>
        <v>38.850000000000023</v>
      </c>
    </row>
    <row r="384" spans="1:33" ht="24.95" customHeight="1">
      <c r="A384" s="85">
        <v>27</v>
      </c>
      <c r="B384" s="92">
        <v>1973000750</v>
      </c>
      <c r="C384" s="109" t="str">
        <f t="shared" si="111"/>
        <v>750</v>
      </c>
      <c r="D384" s="109" t="str">
        <f t="shared" si="112"/>
        <v>973000</v>
      </c>
      <c r="E384" s="93" t="s">
        <v>656</v>
      </c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>
        <f>VLOOKUP(B:B,'[3]תשלומים 2017'!B:R,15,0)</f>
        <v>201000</v>
      </c>
      <c r="Q384" s="95">
        <f>VLOOKUP(B:B,'[3]דוח כספי 31.10'!A:D,4,0)</f>
        <v>134723</v>
      </c>
      <c r="R384" s="95">
        <f>VLOOKUP(B:B,'[3]תשלומים 2017'!B:T,17,0)</f>
        <v>201000</v>
      </c>
      <c r="S384" s="137">
        <f t="shared" si="115"/>
        <v>161667.59999999998</v>
      </c>
      <c r="T384" s="95">
        <v>201000</v>
      </c>
      <c r="U384" s="110"/>
      <c r="V384" s="110"/>
      <c r="W384" s="97"/>
      <c r="X384" s="91"/>
      <c r="Y384" s="85"/>
      <c r="Z384" s="98"/>
      <c r="AA384" s="85"/>
      <c r="AB384" s="85"/>
      <c r="AC384" s="85"/>
      <c r="AD384" s="85"/>
      <c r="AE384" s="85"/>
      <c r="AF384" s="85"/>
      <c r="AG384" s="83">
        <f t="shared" si="116"/>
        <v>66277</v>
      </c>
    </row>
    <row r="385" spans="1:36" ht="24.95" customHeight="1">
      <c r="A385" s="85">
        <v>27</v>
      </c>
      <c r="B385" s="92">
        <v>1973000760</v>
      </c>
      <c r="C385" s="109" t="str">
        <f t="shared" si="111"/>
        <v>760</v>
      </c>
      <c r="D385" s="109" t="str">
        <f t="shared" si="112"/>
        <v>973000</v>
      </c>
      <c r="E385" s="93" t="s">
        <v>657</v>
      </c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>
        <f>VLOOKUP(B:B,'[3]תשלומים 2017'!B:R,15,0)</f>
        <v>0</v>
      </c>
      <c r="Q385" s="95">
        <f>VLOOKUP(B:B,'[3]דוח כספי 31.10'!A:D,4,0)</f>
        <v>0</v>
      </c>
      <c r="R385" s="95">
        <f>VLOOKUP(B:B,'[3]תשלומים 2017'!B:T,17,0)</f>
        <v>0</v>
      </c>
      <c r="S385" s="95">
        <f>Q385/10*12</f>
        <v>0</v>
      </c>
      <c r="T385" s="95">
        <v>0</v>
      </c>
      <c r="U385" s="110"/>
      <c r="V385" s="110"/>
      <c r="W385" s="97"/>
      <c r="X385" s="91"/>
      <c r="Y385" s="85"/>
      <c r="Z385" s="98"/>
      <c r="AA385" s="85"/>
      <c r="AB385" s="85"/>
      <c r="AC385" s="85"/>
      <c r="AD385" s="85"/>
      <c r="AE385" s="85"/>
      <c r="AF385" s="85"/>
      <c r="AG385" s="83">
        <f t="shared" si="116"/>
        <v>0</v>
      </c>
    </row>
    <row r="386" spans="1:36" ht="24.95" customHeight="1">
      <c r="A386" s="85">
        <v>27</v>
      </c>
      <c r="B386" s="92">
        <v>1973000810</v>
      </c>
      <c r="C386" s="109" t="str">
        <f t="shared" si="111"/>
        <v>810</v>
      </c>
      <c r="D386" s="109" t="str">
        <f t="shared" si="112"/>
        <v>973000</v>
      </c>
      <c r="E386" s="93" t="s">
        <v>657</v>
      </c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>
        <f>VLOOKUP(B:B,'[3]תשלומים 2017'!B:R,15,0)</f>
        <v>650000</v>
      </c>
      <c r="Q386" s="95">
        <f>VLOOKUP(B:B,'[3]דוח כספי 31.10'!A:D,4,0)</f>
        <v>100000</v>
      </c>
      <c r="R386" s="95">
        <f>VLOOKUP(B:B,'[3]תשלומים 2017'!B:T,17,0)</f>
        <v>650000</v>
      </c>
      <c r="S386" s="95">
        <f t="shared" si="115"/>
        <v>120000</v>
      </c>
      <c r="T386" s="95">
        <v>650000</v>
      </c>
      <c r="U386" s="110"/>
      <c r="V386" s="110"/>
      <c r="W386" s="97"/>
      <c r="X386" s="91"/>
      <c r="Y386" s="85"/>
      <c r="Z386" s="98"/>
      <c r="AA386" s="85"/>
      <c r="AB386" s="85"/>
      <c r="AC386" s="85"/>
      <c r="AD386" s="85"/>
      <c r="AE386" s="85"/>
      <c r="AF386" s="85"/>
      <c r="AG386" s="83">
        <f t="shared" si="116"/>
        <v>550000</v>
      </c>
    </row>
    <row r="387" spans="1:36" ht="24.95" customHeight="1">
      <c r="A387" s="85">
        <v>27</v>
      </c>
      <c r="B387" s="92">
        <v>1973000930</v>
      </c>
      <c r="C387" s="109" t="str">
        <f t="shared" si="111"/>
        <v>930</v>
      </c>
      <c r="D387" s="109" t="str">
        <f t="shared" si="112"/>
        <v>973000</v>
      </c>
      <c r="E387" s="93" t="s">
        <v>658</v>
      </c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>
        <f>VLOOKUP(B:B,'[3]תשלומים 2017'!B:R,15,0)</f>
        <v>0</v>
      </c>
      <c r="Q387" s="95">
        <f>VLOOKUP(B:B,'[3]דוח כספי 31.10'!A:D,4,0)</f>
        <v>-100000</v>
      </c>
      <c r="R387" s="95">
        <f>VLOOKUP(B:B,'[3]תשלומים 2017'!B:T,17,0)</f>
        <v>0</v>
      </c>
      <c r="S387" s="95">
        <f t="shared" si="115"/>
        <v>-120000</v>
      </c>
      <c r="T387" s="95">
        <v>0</v>
      </c>
      <c r="U387" s="110"/>
      <c r="V387" s="110"/>
      <c r="W387" s="97"/>
      <c r="X387" s="91"/>
      <c r="Y387" s="85"/>
      <c r="Z387" s="98"/>
      <c r="AA387" s="85"/>
      <c r="AB387" s="85"/>
      <c r="AC387" s="85"/>
      <c r="AD387" s="85"/>
      <c r="AE387" s="85"/>
      <c r="AF387" s="85"/>
      <c r="AG387" s="83">
        <f t="shared" si="116"/>
        <v>100000</v>
      </c>
    </row>
    <row r="388" spans="1:36" ht="24.95" customHeight="1">
      <c r="A388" s="85">
        <v>27</v>
      </c>
      <c r="B388" s="92">
        <v>1973100750</v>
      </c>
      <c r="C388" s="109" t="str">
        <f t="shared" si="111"/>
        <v>750</v>
      </c>
      <c r="D388" s="109" t="str">
        <f t="shared" si="112"/>
        <v>973100</v>
      </c>
      <c r="E388" s="93" t="s">
        <v>659</v>
      </c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>
        <f>VLOOKUP(B:B,'[3]תשלומים 2017'!B:R,15,0)</f>
        <v>0</v>
      </c>
      <c r="Q388" s="95">
        <f>VLOOKUP(B:B,'[3]דוח כספי 31.10'!A:D,4,0)</f>
        <v>0</v>
      </c>
      <c r="R388" s="95">
        <f>VLOOKUP(B:B,'[3]תשלומים 2017'!B:T,17,0)</f>
        <v>0</v>
      </c>
      <c r="S388" s="95">
        <f t="shared" si="115"/>
        <v>0</v>
      </c>
      <c r="T388" s="95">
        <v>0</v>
      </c>
      <c r="U388" s="110"/>
      <c r="V388" s="110"/>
      <c r="W388" s="97"/>
      <c r="X388" s="91"/>
      <c r="Y388" s="85"/>
      <c r="Z388" s="98"/>
      <c r="AA388" s="85"/>
      <c r="AB388" s="85"/>
      <c r="AC388" s="85"/>
      <c r="AD388" s="85"/>
      <c r="AE388" s="85"/>
      <c r="AF388" s="85"/>
      <c r="AG388" s="83">
        <f t="shared" si="116"/>
        <v>0</v>
      </c>
    </row>
    <row r="389" spans="1:36" ht="24.95" customHeight="1">
      <c r="A389" s="85">
        <v>24</v>
      </c>
      <c r="B389" s="92">
        <v>1992000091</v>
      </c>
      <c r="C389" s="109" t="str">
        <f t="shared" si="111"/>
        <v>091</v>
      </c>
      <c r="D389" s="109" t="str">
        <f t="shared" si="112"/>
        <v>992000</v>
      </c>
      <c r="E389" s="93" t="s">
        <v>660</v>
      </c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>
        <f>VLOOKUP(B:B,'[3]תשלומים 2017'!B:R,15,0)</f>
        <v>0</v>
      </c>
      <c r="Q389" s="95">
        <f>VLOOKUP(B:B,'[3]דוח כספי 31.10'!A:D,4,0)</f>
        <v>0</v>
      </c>
      <c r="R389" s="95">
        <f>VLOOKUP(B:B,'[3]תשלומים 2017'!B:T,17,0)</f>
        <v>0</v>
      </c>
      <c r="S389" s="95">
        <f t="shared" si="115"/>
        <v>0</v>
      </c>
      <c r="T389" s="95">
        <v>0</v>
      </c>
      <c r="U389" s="110"/>
      <c r="V389" s="110"/>
      <c r="W389" s="97"/>
      <c r="X389" s="91"/>
      <c r="Y389" s="85"/>
      <c r="Z389" s="98"/>
      <c r="AA389" s="85"/>
      <c r="AB389" s="85"/>
      <c r="AC389" s="85"/>
      <c r="AD389" s="85"/>
      <c r="AE389" s="85"/>
      <c r="AF389" s="85"/>
      <c r="AG389" s="83">
        <f t="shared" si="116"/>
        <v>0</v>
      </c>
    </row>
    <row r="390" spans="1:36" ht="24.95" customHeight="1">
      <c r="A390" s="85">
        <v>24</v>
      </c>
      <c r="B390" s="92">
        <v>1992000910</v>
      </c>
      <c r="C390" s="109" t="str">
        <f t="shared" si="111"/>
        <v>910</v>
      </c>
      <c r="D390" s="109" t="str">
        <f t="shared" si="112"/>
        <v>992000</v>
      </c>
      <c r="E390" s="93" t="s">
        <v>661</v>
      </c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>
        <f>VLOOKUP(B:B,'[3]תשלומים 2017'!B:R,15,0)</f>
        <v>0</v>
      </c>
      <c r="Q390" s="95">
        <f>VLOOKUP(B:B,'[3]דוח כספי 31.10'!A:D,4,0)</f>
        <v>0</v>
      </c>
      <c r="R390" s="95">
        <f>VLOOKUP(B:B,'[3]תשלומים 2017'!B:T,17,0)</f>
        <v>0</v>
      </c>
      <c r="S390" s="95">
        <f t="shared" si="115"/>
        <v>0</v>
      </c>
      <c r="T390" s="95">
        <v>0</v>
      </c>
      <c r="U390" s="110"/>
      <c r="V390" s="110"/>
      <c r="W390" s="97"/>
      <c r="X390" s="91"/>
      <c r="Y390" s="85"/>
      <c r="Z390" s="98"/>
      <c r="AA390" s="85"/>
      <c r="AB390" s="85"/>
      <c r="AC390" s="85"/>
      <c r="AD390" s="85"/>
      <c r="AE390" s="85"/>
      <c r="AF390" s="85"/>
      <c r="AG390" s="83">
        <f t="shared" si="116"/>
        <v>0</v>
      </c>
    </row>
    <row r="391" spans="1:36" s="108" customFormat="1" ht="24.95" customHeight="1">
      <c r="A391" s="99">
        <v>24</v>
      </c>
      <c r="B391" s="100">
        <v>1992000960</v>
      </c>
      <c r="C391" s="101" t="str">
        <f t="shared" si="111"/>
        <v>960</v>
      </c>
      <c r="D391" s="101" t="str">
        <f t="shared" si="112"/>
        <v>992000</v>
      </c>
      <c r="E391" s="102" t="s">
        <v>662</v>
      </c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>
        <f>VLOOKUP(B:B,'[3]תשלומים 2017'!B:R,15,0)</f>
        <v>1689000</v>
      </c>
      <c r="Q391" s="103">
        <f>VLOOKUP(B:B,'[3]דוח כספי 31.10'!A:D,4,0)</f>
        <v>0</v>
      </c>
      <c r="R391" s="103">
        <v>735000</v>
      </c>
      <c r="S391" s="103">
        <f t="shared" si="115"/>
        <v>0</v>
      </c>
      <c r="T391" s="26"/>
      <c r="U391" s="104"/>
      <c r="V391" s="104"/>
      <c r="W391" s="105"/>
      <c r="X391" s="106"/>
      <c r="Y391" s="99"/>
      <c r="Z391" s="107"/>
      <c r="AA391" s="99"/>
      <c r="AB391" s="99"/>
      <c r="AC391" s="99"/>
      <c r="AD391" s="99"/>
      <c r="AE391" s="99"/>
      <c r="AF391" s="99"/>
      <c r="AG391" s="115">
        <f t="shared" si="116"/>
        <v>1689000</v>
      </c>
    </row>
    <row r="392" spans="1:36" ht="24.95" customHeight="1">
      <c r="A392" s="85">
        <v>24</v>
      </c>
      <c r="B392" s="92">
        <v>1992000991</v>
      </c>
      <c r="C392" s="109" t="str">
        <f t="shared" si="111"/>
        <v>991</v>
      </c>
      <c r="D392" s="109" t="str">
        <f t="shared" si="112"/>
        <v>992000</v>
      </c>
      <c r="E392" s="93" t="s">
        <v>660</v>
      </c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>
        <f>VLOOKUP(B:B,'[3]תשלומים 2017'!B:R,15,0)</f>
        <v>0</v>
      </c>
      <c r="Q392" s="95">
        <f>VLOOKUP(B:B,'[3]דוח כספי 31.10'!A:D,4,0)</f>
        <v>0</v>
      </c>
      <c r="R392" s="95">
        <f>VLOOKUP(B:B,'[3]תשלומים 2017'!B:T,17,0)</f>
        <v>0</v>
      </c>
      <c r="S392" s="95">
        <f t="shared" si="115"/>
        <v>0</v>
      </c>
      <c r="T392" s="95">
        <v>0</v>
      </c>
      <c r="U392" s="110"/>
      <c r="V392" s="110"/>
      <c r="W392" s="97"/>
      <c r="X392" s="91"/>
      <c r="Y392" s="85"/>
      <c r="Z392" s="98"/>
      <c r="AA392" s="85"/>
      <c r="AB392" s="85"/>
      <c r="AC392" s="85"/>
      <c r="AD392" s="85"/>
      <c r="AE392" s="85"/>
      <c r="AF392" s="85"/>
      <c r="AG392" s="83">
        <f t="shared" si="116"/>
        <v>0</v>
      </c>
    </row>
    <row r="393" spans="1:36" ht="24.95" customHeight="1">
      <c r="A393" s="85">
        <v>25</v>
      </c>
      <c r="B393" s="92">
        <v>1995000860</v>
      </c>
      <c r="C393" s="109" t="str">
        <f t="shared" si="111"/>
        <v>860</v>
      </c>
      <c r="D393" s="109" t="str">
        <f t="shared" si="112"/>
        <v>995000</v>
      </c>
      <c r="E393" s="93" t="s">
        <v>663</v>
      </c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>
        <f>VLOOKUP(B:B,'[3]תשלומים 2017'!B:R,15,0)</f>
        <v>2556000</v>
      </c>
      <c r="Q393" s="95">
        <f>VLOOKUP(B:B,'[3]דוח כספי 31.10'!A:D,4,0)</f>
        <v>1256699.5</v>
      </c>
      <c r="R393" s="95">
        <f>VLOOKUP(B:B,'[3]תשלומים 2017'!B:T,17,0)</f>
        <v>3360000</v>
      </c>
      <c r="S393" s="95">
        <f t="shared" si="115"/>
        <v>1508039.4</v>
      </c>
      <c r="T393" s="20">
        <v>3360000</v>
      </c>
      <c r="U393" s="110"/>
      <c r="V393" s="110"/>
      <c r="W393" s="97"/>
      <c r="X393" s="91"/>
      <c r="Y393" s="85"/>
      <c r="Z393" s="98"/>
      <c r="AA393" s="85"/>
      <c r="AB393" s="85"/>
      <c r="AC393" s="85"/>
      <c r="AD393" s="85"/>
      <c r="AE393" s="85"/>
      <c r="AF393" s="85"/>
      <c r="AG393" s="83">
        <f t="shared" si="116"/>
        <v>1299300.5</v>
      </c>
    </row>
    <row r="394" spans="1:36" ht="24.95" customHeight="1">
      <c r="A394" s="85">
        <v>16</v>
      </c>
      <c r="B394" s="92">
        <v>1998000115</v>
      </c>
      <c r="C394" s="109" t="str">
        <f t="shared" si="111"/>
        <v>115</v>
      </c>
      <c r="D394" s="109" t="str">
        <f t="shared" si="112"/>
        <v>998000</v>
      </c>
      <c r="E394" s="93" t="s">
        <v>664</v>
      </c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>
        <f>VLOOKUP(B:B,'[3]תשלומים 2017'!B:R,15,0)</f>
        <v>0</v>
      </c>
      <c r="Q394" s="95">
        <f>VLOOKUP(B:B,'[3]דוח כספי 31.10'!A:D,4,0)</f>
        <v>0</v>
      </c>
      <c r="R394" s="95">
        <f>VLOOKUP(B:B,'[3]תשלומים 2017'!B:T,17,0)</f>
        <v>0</v>
      </c>
      <c r="S394" s="95">
        <f t="shared" si="115"/>
        <v>0</v>
      </c>
      <c r="T394" s="95">
        <v>0</v>
      </c>
      <c r="U394" s="110"/>
      <c r="V394" s="110"/>
      <c r="W394" s="97"/>
      <c r="X394" s="91"/>
      <c r="Y394" s="85"/>
      <c r="Z394" s="98"/>
      <c r="AA394" s="85"/>
      <c r="AB394" s="85"/>
      <c r="AC394" s="85"/>
      <c r="AD394" s="85"/>
      <c r="AE394" s="85"/>
      <c r="AF394" s="85"/>
      <c r="AG394"/>
    </row>
    <row r="395" spans="1:36" s="108" customFormat="1" ht="24.95" customHeight="1">
      <c r="A395" s="99">
        <v>16</v>
      </c>
      <c r="B395" s="100">
        <v>1999000310</v>
      </c>
      <c r="C395" s="101" t="str">
        <f>MID(B395,8,3)</f>
        <v>310</v>
      </c>
      <c r="D395" s="101" t="str">
        <f>MID(B395,2,6)</f>
        <v>999000</v>
      </c>
      <c r="E395" s="102" t="s">
        <v>369</v>
      </c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>
        <v>0</v>
      </c>
      <c r="Q395" s="103">
        <v>0</v>
      </c>
      <c r="R395" s="103">
        <v>0</v>
      </c>
      <c r="S395" s="103">
        <v>0</v>
      </c>
      <c r="T395" s="103">
        <v>1546000</v>
      </c>
      <c r="U395" s="104">
        <v>8.56</v>
      </c>
      <c r="V395" s="104">
        <v>8.4</v>
      </c>
      <c r="W395" s="105"/>
      <c r="X395" s="106"/>
      <c r="Y395" s="99"/>
      <c r="Z395" s="107"/>
      <c r="AA395" s="99"/>
      <c r="AB395" s="99"/>
      <c r="AC395" s="99"/>
      <c r="AD395" s="99"/>
      <c r="AE395" s="99"/>
      <c r="AF395" s="99"/>
      <c r="AI395" s="108" t="s">
        <v>665</v>
      </c>
    </row>
    <row r="396" spans="1:36" s="108" customFormat="1" ht="24.95" customHeight="1">
      <c r="A396" s="99">
        <v>16</v>
      </c>
      <c r="B396" s="100">
        <v>1999900310</v>
      </c>
      <c r="C396" s="101" t="str">
        <f>MID(B396,8,3)</f>
        <v>310</v>
      </c>
      <c r="D396" s="101" t="str">
        <f>MID(B396,2,6)</f>
        <v>999900</v>
      </c>
      <c r="E396" s="102" t="s">
        <v>353</v>
      </c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>
        <v>0</v>
      </c>
      <c r="Q396" s="103">
        <v>0</v>
      </c>
      <c r="R396" s="103">
        <v>0</v>
      </c>
      <c r="S396" s="103">
        <v>0</v>
      </c>
      <c r="T396" s="103"/>
      <c r="U396" s="104"/>
      <c r="V396" s="104"/>
      <c r="W396" s="105"/>
      <c r="X396" s="106"/>
      <c r="Y396" s="99"/>
      <c r="Z396" s="107"/>
      <c r="AA396" s="99"/>
      <c r="AB396" s="99"/>
      <c r="AC396" s="99"/>
      <c r="AD396" s="99"/>
      <c r="AE396" s="99"/>
      <c r="AF396" s="99"/>
      <c r="AI396" s="108" t="s">
        <v>665</v>
      </c>
    </row>
    <row r="397" spans="1:36" s="1" customFormat="1" ht="24.95" customHeight="1">
      <c r="B397" s="32"/>
      <c r="C397" s="33"/>
      <c r="D397" s="33"/>
      <c r="E397" s="33" t="s">
        <v>666</v>
      </c>
      <c r="F397" s="34" t="e">
        <f>SUM(#REF!)</f>
        <v>#REF!</v>
      </c>
      <c r="G397" s="34" t="e">
        <f>SUM(#REF!)</f>
        <v>#REF!</v>
      </c>
      <c r="H397" s="34" t="e">
        <f>SUM(#REF!)</f>
        <v>#REF!</v>
      </c>
      <c r="I397" s="34" t="e">
        <f>SUM(#REF!)</f>
        <v>#REF!</v>
      </c>
      <c r="J397" s="34" t="e">
        <f>SUM(#REF!)</f>
        <v>#REF!</v>
      </c>
      <c r="K397" s="34" t="e">
        <f>SUM(#REF!)</f>
        <v>#REF!</v>
      </c>
      <c r="L397" s="34" t="e">
        <f>SUM(#REF!)</f>
        <v>#REF!</v>
      </c>
      <c r="M397" s="34" t="e">
        <f>SUM(#REF!)</f>
        <v>#REF!</v>
      </c>
      <c r="N397" s="34" t="e">
        <f>SUM(#REF!)</f>
        <v>#REF!</v>
      </c>
      <c r="O397" s="34" t="e">
        <f>SUM(#REF!)</f>
        <v>#REF!</v>
      </c>
      <c r="P397" s="34">
        <f>SUM(P366:P396)</f>
        <v>9152000</v>
      </c>
      <c r="Q397" s="34">
        <f t="shared" ref="Q397:S397" si="117">SUM(Q366:Q396)</f>
        <v>4317738.54</v>
      </c>
      <c r="R397" s="34">
        <f t="shared" si="117"/>
        <v>8566000</v>
      </c>
      <c r="S397" s="34">
        <f t="shared" si="117"/>
        <v>5221314.9933333322</v>
      </c>
      <c r="T397" s="34">
        <f>SUM(T366:T396)</f>
        <v>9263000</v>
      </c>
      <c r="U397" s="123">
        <f>SUM(U366:U396)</f>
        <v>10.89</v>
      </c>
      <c r="V397" s="123">
        <f>SUM(V366:V396)</f>
        <v>10.73</v>
      </c>
      <c r="W397" s="22"/>
      <c r="X397" s="23"/>
      <c r="Y397" s="5">
        <f>IF(ISBLANK(B397),1,--OR(L397&gt;1,M397&gt;1,N397&gt;1))</f>
        <v>1</v>
      </c>
      <c r="AG397" s="1">
        <f>P397-Q397</f>
        <v>4834261.46</v>
      </c>
    </row>
    <row r="398" spans="1:36" ht="24.95" customHeight="1" thickBot="1">
      <c r="A398" s="85"/>
      <c r="B398" s="138"/>
      <c r="C398" s="139"/>
      <c r="D398" s="139"/>
      <c r="E398" s="140" t="s">
        <v>667</v>
      </c>
      <c r="F398" s="141" t="e">
        <f>F397+#REF!+F364+F357+F290+F301+F248+F126+F77</f>
        <v>#REF!</v>
      </c>
      <c r="G398" s="141" t="e">
        <f>G397+#REF!+G364+G357+G290+G301+G248+G126+G77</f>
        <v>#REF!</v>
      </c>
      <c r="H398" s="141" t="e">
        <f>H397+#REF!+H364+H357+H290+H301+H248+H126+H77</f>
        <v>#REF!</v>
      </c>
      <c r="I398" s="141" t="e">
        <f>I397+#REF!+I364+I357+I290+I301+I248+I126+I77</f>
        <v>#REF!</v>
      </c>
      <c r="J398" s="141" t="e">
        <f>J397+#REF!+J364+J357+J290+J301+J248+J126+J77</f>
        <v>#REF!</v>
      </c>
      <c r="K398" s="141" t="e">
        <f>K397+#REF!+K364+K357+K290+K301+K248+K126+K77</f>
        <v>#REF!</v>
      </c>
      <c r="L398" s="141" t="e">
        <f>L397+#REF!+L364+L357+L290+L301+L248+L126+L77</f>
        <v>#REF!</v>
      </c>
      <c r="M398" s="141" t="e">
        <f>M397+#REF!+M364+M357+M290+M301+M248+M126+M77</f>
        <v>#REF!</v>
      </c>
      <c r="N398" s="141" t="e">
        <f>N397+#REF!+N364+N357+N290+N301+N248+N126+N77</f>
        <v>#REF!</v>
      </c>
      <c r="O398" s="141" t="e">
        <f>O397+#REF!+O364+O357+O290+O301+O248+O126+O77</f>
        <v>#REF!</v>
      </c>
      <c r="P398" s="141">
        <f t="shared" ref="P398:T398" si="118">P397+P364+P357+P290+P301+P248+P126+P77</f>
        <v>62584000</v>
      </c>
      <c r="Q398" s="141">
        <f t="shared" si="118"/>
        <v>51812417.859999992</v>
      </c>
      <c r="R398" s="141">
        <f t="shared" si="118"/>
        <v>71086500</v>
      </c>
      <c r="S398" s="141">
        <f t="shared" si="118"/>
        <v>65390694.931999996</v>
      </c>
      <c r="T398" s="141">
        <f t="shared" si="118"/>
        <v>71862000</v>
      </c>
      <c r="U398" s="142">
        <f>U397+U364+U357+U290+U301+U248+U126+U77</f>
        <v>207.24999999999997</v>
      </c>
      <c r="V398" s="142">
        <f>V397+V364+V357+V290+V301+V248+V126+V77</f>
        <v>236.23299999999998</v>
      </c>
      <c r="W398" s="143"/>
      <c r="X398" s="144" t="e">
        <f>SUM(X3:X397)</f>
        <v>#REF!</v>
      </c>
      <c r="Y398" s="85">
        <f>IF(ISBLANK(B398),1,--OR(L398&gt;1,M398&gt;1,N398&gt;1))</f>
        <v>1</v>
      </c>
      <c r="Z398" s="85"/>
      <c r="AA398" s="85"/>
      <c r="AB398" s="85"/>
      <c r="AC398" s="85"/>
      <c r="AD398" s="85"/>
      <c r="AE398" s="85"/>
      <c r="AF398" s="85"/>
      <c r="AJ398" s="130"/>
    </row>
    <row r="399" spans="1:36" s="108" customFormat="1" ht="24.95" customHeight="1" thickBot="1">
      <c r="B399" s="145"/>
      <c r="C399" s="146"/>
      <c r="D399" s="146"/>
      <c r="E399" s="147" t="s">
        <v>668</v>
      </c>
      <c r="F399" s="148" t="e">
        <f>-F398+[3]תקבולים!F350</f>
        <v>#REF!</v>
      </c>
      <c r="G399" s="148" t="e">
        <f>-G398+[3]תקבולים!G350</f>
        <v>#REF!</v>
      </c>
      <c r="H399" s="148" t="e">
        <f>-H398+[3]תקבולים!H350</f>
        <v>#REF!</v>
      </c>
      <c r="I399" s="148" t="e">
        <f>-I398+[3]תקבולים!I350</f>
        <v>#REF!</v>
      </c>
      <c r="J399" s="148"/>
      <c r="K399" s="148"/>
      <c r="L399" s="148" t="e">
        <f>[3]תקבולים!L350-תשלומים!L398</f>
        <v>#REF!</v>
      </c>
      <c r="M399" s="148" t="e">
        <f>[3]תקבולים!M350-תשלומים!M398</f>
        <v>#REF!</v>
      </c>
      <c r="N399" s="148" t="e">
        <f>[3]תקבולים!N350-תשלומים!N398</f>
        <v>#REF!</v>
      </c>
      <c r="O399" s="148" t="e">
        <f>[3]תקבולים!O350-תשלומים!O398</f>
        <v>#N/A</v>
      </c>
      <c r="P399" s="149">
        <f>[3]תקבולים!P350-תשלומים!P398</f>
        <v>0</v>
      </c>
      <c r="Q399" s="148">
        <f>[3]תקבולים!Q350-תשלומים!Q398</f>
        <v>2832787.6900000051</v>
      </c>
      <c r="R399" s="149">
        <f>[3]תקבולים!R350-תשלומים!R398</f>
        <v>0</v>
      </c>
      <c r="S399" s="148">
        <f>[3]תקבולים!S350-תשלומים!S398</f>
        <v>239115.84000000358</v>
      </c>
      <c r="T399" s="149">
        <f>[3]תקבולים!T350-תשלומים!T398</f>
        <v>0</v>
      </c>
      <c r="U399" s="150"/>
      <c r="V399" s="150"/>
      <c r="W399" s="151"/>
      <c r="X399" s="152"/>
      <c r="Y399" s="99">
        <f>IF(ISBLANK(B399),1,--OR(L399&gt;1,M399&gt;1,N399&gt;1))</f>
        <v>1</v>
      </c>
      <c r="Z399" s="153"/>
      <c r="AA399" s="153"/>
      <c r="AB399" s="153"/>
      <c r="AC399" s="153"/>
      <c r="AD399" s="153"/>
      <c r="AE399" s="153"/>
      <c r="AF399" s="153"/>
      <c r="AG399" s="115"/>
    </row>
    <row r="400" spans="1:36" ht="24.95" customHeight="1">
      <c r="W400" s="155" t="s">
        <v>669</v>
      </c>
      <c r="X400" s="155">
        <v>21077496.615999997</v>
      </c>
    </row>
    <row r="401" spans="8:20" ht="24.95" customHeight="1">
      <c r="H401" s="156" t="e">
        <f>1.01*#REF!</f>
        <v>#REF!</v>
      </c>
    </row>
    <row r="403" spans="8:20" ht="24.95" customHeight="1">
      <c r="H403" s="226" t="s">
        <v>670</v>
      </c>
      <c r="I403" s="226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</row>
    <row r="404" spans="8:20" ht="24.95" customHeight="1">
      <c r="H404" s="158">
        <v>16</v>
      </c>
      <c r="I404" s="159">
        <f>SUMIF(תשלומים!$A:$A,H404,תשלומים!I:I)</f>
        <v>755642</v>
      </c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</row>
    <row r="405" spans="8:20" ht="24.95" customHeight="1">
      <c r="H405" s="158">
        <v>20</v>
      </c>
      <c r="I405" s="159">
        <f>SUMIF(תשלומים!$A:$A,H405,תשלומים!I:I)</f>
        <v>0</v>
      </c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</row>
    <row r="406" spans="8:20" ht="24.95" customHeight="1">
      <c r="H406" s="158">
        <v>21</v>
      </c>
      <c r="I406" s="159">
        <f>SUMIF(תשלומים!$A:$A,H406,תשלומים!I:I)</f>
        <v>0</v>
      </c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</row>
    <row r="407" spans="8:20" ht="24.95" customHeight="1">
      <c r="H407" s="158"/>
      <c r="I407" s="159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</row>
    <row r="408" spans="8:20" ht="24.95" customHeight="1">
      <c r="H408" s="158" t="s">
        <v>671</v>
      </c>
      <c r="I408" s="161">
        <f>SUM(I404:I407)</f>
        <v>755642</v>
      </c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</row>
  </sheetData>
  <mergeCells count="1">
    <mergeCell ref="H403:I403"/>
  </mergeCells>
  <conditionalFormatting sqref="C3 C78 C119:C124 C249 C291 C302 B358:C358 C398:O1048576 T400:T1048576 S398:T399 C27:C43 C127 V398:V1048576 U398">
    <cfRule type="cellIs" dxfId="1927" priority="920" operator="equal">
      <formula>"110"</formula>
    </cfRule>
  </conditionalFormatting>
  <conditionalFormatting sqref="C3:O3 C27:D43 C119:D124 C291:O291 C78:O78 C127:O127 C249:O249 C302:O302 C358:O358 C365:O365 V365 V358 V302 V291 V249 V127 V78 T3 C398:O399 C395:E395 S395:T395 S148:T148 C148:E148 S398:T399 V398:V399 V3 U398">
    <cfRule type="expression" dxfId="1926" priority="919">
      <formula>$C3="110"</formula>
    </cfRule>
  </conditionalFormatting>
  <conditionalFormatting sqref="B365">
    <cfRule type="cellIs" dxfId="1925" priority="917" operator="equal">
      <formula>"110"</formula>
    </cfRule>
  </conditionalFormatting>
  <conditionalFormatting sqref="C365:I365 V365">
    <cfRule type="cellIs" dxfId="1924" priority="916" operator="equal">
      <formula>"110"</formula>
    </cfRule>
  </conditionalFormatting>
  <conditionalFormatting sqref="B365">
    <cfRule type="cellIs" dxfId="1923" priority="918" operator="equal">
      <formula>"110"</formula>
    </cfRule>
  </conditionalFormatting>
  <conditionalFormatting sqref="C3 C78 C119:C124 C249 C291 C302 C358 C365 C398:C1048576 C27:C43 C127">
    <cfRule type="cellIs" dxfId="1922" priority="915" operator="equal">
      <formula>"310"</formula>
    </cfRule>
  </conditionalFormatting>
  <conditionalFormatting sqref="V7:V16 F7:O16 V27:V43 F27:O43 V120:V124 F119:O124 F395:O395 V395 F148:O148 V176 V173">
    <cfRule type="expression" dxfId="1921" priority="922">
      <formula>$E7="110"</formula>
    </cfRule>
  </conditionalFormatting>
  <conditionalFormatting sqref="C7:C16">
    <cfRule type="cellIs" dxfId="1920" priority="913" operator="equal">
      <formula>"110"</formula>
    </cfRule>
  </conditionalFormatting>
  <conditionalFormatting sqref="C7:D16">
    <cfRule type="expression" dxfId="1919" priority="912">
      <formula>$C7="110"</formula>
    </cfRule>
  </conditionalFormatting>
  <conditionalFormatting sqref="C7:C16">
    <cfRule type="cellIs" dxfId="1918" priority="911" operator="equal">
      <formula>"310"</formula>
    </cfRule>
  </conditionalFormatting>
  <conditionalFormatting sqref="T7:T16">
    <cfRule type="expression" dxfId="1917" priority="910">
      <formula>$C7="110"</formula>
    </cfRule>
  </conditionalFormatting>
  <conditionalFormatting sqref="C4">
    <cfRule type="cellIs" dxfId="1916" priority="909" operator="equal">
      <formula>"110"</formula>
    </cfRule>
  </conditionalFormatting>
  <conditionalFormatting sqref="T4 C4:O4">
    <cfRule type="expression" dxfId="1915" priority="908">
      <formula>$C4="110"</formula>
    </cfRule>
  </conditionalFormatting>
  <conditionalFormatting sqref="C4">
    <cfRule type="cellIs" dxfId="1914" priority="907" operator="equal">
      <formula>"310"</formula>
    </cfRule>
  </conditionalFormatting>
  <conditionalFormatting sqref="C18:C19">
    <cfRule type="cellIs" dxfId="1913" priority="906" operator="equal">
      <formula>"110"</formula>
    </cfRule>
  </conditionalFormatting>
  <conditionalFormatting sqref="C18:O19 T18:T19 V18:V19">
    <cfRule type="expression" dxfId="1912" priority="905">
      <formula>$C18="110"</formula>
    </cfRule>
  </conditionalFormatting>
  <conditionalFormatting sqref="C18:C19">
    <cfRule type="cellIs" dxfId="1911" priority="904" operator="equal">
      <formula>"310"</formula>
    </cfRule>
  </conditionalFormatting>
  <conditionalFormatting sqref="V22 F22:O22">
    <cfRule type="expression" dxfId="1910" priority="903">
      <formula>$E22="110"</formula>
    </cfRule>
  </conditionalFormatting>
  <conditionalFormatting sqref="C22">
    <cfRule type="cellIs" dxfId="1909" priority="902" operator="equal">
      <formula>"110"</formula>
    </cfRule>
  </conditionalFormatting>
  <conditionalFormatting sqref="C22:D22">
    <cfRule type="expression" dxfId="1908" priority="901">
      <formula>$C22="110"</formula>
    </cfRule>
  </conditionalFormatting>
  <conditionalFormatting sqref="C22">
    <cfRule type="cellIs" dxfId="1907" priority="900" operator="equal">
      <formula>"310"</formula>
    </cfRule>
  </conditionalFormatting>
  <conditionalFormatting sqref="C24">
    <cfRule type="cellIs" dxfId="1906" priority="899" operator="equal">
      <formula>"110"</formula>
    </cfRule>
  </conditionalFormatting>
  <conditionalFormatting sqref="T24 C24:O24 V24">
    <cfRule type="expression" dxfId="1905" priority="898">
      <formula>$C24="110"</formula>
    </cfRule>
  </conditionalFormatting>
  <conditionalFormatting sqref="C24">
    <cfRule type="cellIs" dxfId="1904" priority="897" operator="equal">
      <formula>"310"</formula>
    </cfRule>
  </conditionalFormatting>
  <conditionalFormatting sqref="E7:E16">
    <cfRule type="expression" dxfId="1903" priority="896">
      <formula>$C7="110"</formula>
    </cfRule>
  </conditionalFormatting>
  <conditionalFormatting sqref="E22">
    <cfRule type="expression" dxfId="1902" priority="895">
      <formula>$C22="110"</formula>
    </cfRule>
  </conditionalFormatting>
  <conditionalFormatting sqref="E27:E43">
    <cfRule type="expression" dxfId="1901" priority="894">
      <formula>$C27="110"</formula>
    </cfRule>
  </conditionalFormatting>
  <conditionalFormatting sqref="C46:D48">
    <cfRule type="expression" dxfId="1900" priority="891">
      <formula>$C46="110"</formula>
    </cfRule>
  </conditionalFormatting>
  <conditionalFormatting sqref="E70:E71">
    <cfRule type="expression" dxfId="1899" priority="867">
      <formula>$C70="110"</formula>
    </cfRule>
  </conditionalFormatting>
  <conditionalFormatting sqref="C46:C48">
    <cfRule type="cellIs" dxfId="1898" priority="892" operator="equal">
      <formula>"110"</formula>
    </cfRule>
  </conditionalFormatting>
  <conditionalFormatting sqref="C46:C48">
    <cfRule type="cellIs" dxfId="1897" priority="890" operator="equal">
      <formula>"310"</formula>
    </cfRule>
  </conditionalFormatting>
  <conditionalFormatting sqref="V46:V48 F46:O48">
    <cfRule type="expression" dxfId="1896" priority="893">
      <formula>$E46="110"</formula>
    </cfRule>
  </conditionalFormatting>
  <conditionalFormatting sqref="E46:E48">
    <cfRule type="expression" dxfId="1895" priority="889">
      <formula>$C46="110"</formula>
    </cfRule>
  </conditionalFormatting>
  <conditionalFormatting sqref="C50">
    <cfRule type="cellIs" dxfId="1894" priority="887" operator="equal">
      <formula>"110"</formula>
    </cfRule>
  </conditionalFormatting>
  <conditionalFormatting sqref="C50:D50">
    <cfRule type="expression" dxfId="1893" priority="886">
      <formula>$C50="110"</formula>
    </cfRule>
  </conditionalFormatting>
  <conditionalFormatting sqref="C50">
    <cfRule type="cellIs" dxfId="1892" priority="885" operator="equal">
      <formula>"310"</formula>
    </cfRule>
  </conditionalFormatting>
  <conditionalFormatting sqref="V50 F50:O50">
    <cfRule type="expression" dxfId="1891" priority="888">
      <formula>$E50="110"</formula>
    </cfRule>
  </conditionalFormatting>
  <conditionalFormatting sqref="E50">
    <cfRule type="expression" dxfId="1890" priority="884">
      <formula>$C50="110"</formula>
    </cfRule>
  </conditionalFormatting>
  <conditionalFormatting sqref="E53:E55 E57:E58 E61:E62 E64">
    <cfRule type="expression" dxfId="1889" priority="879">
      <formula>$C53="110"</formula>
    </cfRule>
  </conditionalFormatting>
  <conditionalFormatting sqref="C53:C55 C57:C58 C61:C62 C64">
    <cfRule type="cellIs" dxfId="1888" priority="882" operator="equal">
      <formula>"110"</formula>
    </cfRule>
  </conditionalFormatting>
  <conditionalFormatting sqref="C53:D55 C57:D58 C61:D62 C64:D64">
    <cfRule type="expression" dxfId="1887" priority="881">
      <formula>$C53="110"</formula>
    </cfRule>
  </conditionalFormatting>
  <conditionalFormatting sqref="C53:C55 C57:C58 C61:C62 C64">
    <cfRule type="cellIs" dxfId="1886" priority="880" operator="equal">
      <formula>"310"</formula>
    </cfRule>
  </conditionalFormatting>
  <conditionalFormatting sqref="V53:V55 F53:O55 V61:V62 V57:V58 F57:O58 F61:O62 F64:O64">
    <cfRule type="expression" dxfId="1885" priority="883">
      <formula>$E53="110"</formula>
    </cfRule>
  </conditionalFormatting>
  <conditionalFormatting sqref="T64">
    <cfRule type="expression" dxfId="1884" priority="878">
      <formula>$C64="110"</formula>
    </cfRule>
  </conditionalFormatting>
  <conditionalFormatting sqref="E66:E68">
    <cfRule type="expression" dxfId="1883" priority="873">
      <formula>$C66="110"</formula>
    </cfRule>
  </conditionalFormatting>
  <conditionalFormatting sqref="C66:C68">
    <cfRule type="cellIs" dxfId="1882" priority="876" operator="equal">
      <formula>"110"</formula>
    </cfRule>
  </conditionalFormatting>
  <conditionalFormatting sqref="C66:D68">
    <cfRule type="expression" dxfId="1881" priority="875">
      <formula>$C66="110"</formula>
    </cfRule>
  </conditionalFormatting>
  <conditionalFormatting sqref="C66:C68">
    <cfRule type="cellIs" dxfId="1880" priority="874" operator="equal">
      <formula>"310"</formula>
    </cfRule>
  </conditionalFormatting>
  <conditionalFormatting sqref="V66:V67 F66:O68">
    <cfRule type="expression" dxfId="1879" priority="877">
      <formula>$E66="110"</formula>
    </cfRule>
  </conditionalFormatting>
  <conditionalFormatting sqref="T68 T66">
    <cfRule type="expression" dxfId="1878" priority="872">
      <formula>$C66="110"</formula>
    </cfRule>
  </conditionalFormatting>
  <conditionalFormatting sqref="C70:C71">
    <cfRule type="cellIs" dxfId="1877" priority="870" operator="equal">
      <formula>"110"</formula>
    </cfRule>
  </conditionalFormatting>
  <conditionalFormatting sqref="C70:D71">
    <cfRule type="expression" dxfId="1876" priority="869">
      <formula>$C70="110"</formula>
    </cfRule>
  </conditionalFormatting>
  <conditionalFormatting sqref="C70:C71">
    <cfRule type="cellIs" dxfId="1875" priority="868" operator="equal">
      <formula>"310"</formula>
    </cfRule>
  </conditionalFormatting>
  <conditionalFormatting sqref="V70:V71 F70:O71">
    <cfRule type="expression" dxfId="1874" priority="871">
      <formula>$E70="110"</formula>
    </cfRule>
  </conditionalFormatting>
  <conditionalFormatting sqref="E73:E75">
    <cfRule type="expression" dxfId="1873" priority="862">
      <formula>$C73="110"</formula>
    </cfRule>
  </conditionalFormatting>
  <conditionalFormatting sqref="C73:C75">
    <cfRule type="cellIs" dxfId="1872" priority="865" operator="equal">
      <formula>"110"</formula>
    </cfRule>
  </conditionalFormatting>
  <conditionalFormatting sqref="C73:D75">
    <cfRule type="expression" dxfId="1871" priority="864">
      <formula>$C73="110"</formula>
    </cfRule>
  </conditionalFormatting>
  <conditionalFormatting sqref="C73:C75">
    <cfRule type="cellIs" dxfId="1870" priority="863" operator="equal">
      <formula>"310"</formula>
    </cfRule>
  </conditionalFormatting>
  <conditionalFormatting sqref="V73:V75 F73:O75">
    <cfRule type="expression" dxfId="1869" priority="866">
      <formula>$E73="110"</formula>
    </cfRule>
  </conditionalFormatting>
  <conditionalFormatting sqref="E79:E89">
    <cfRule type="expression" dxfId="1868" priority="857">
      <formula>$C79="110"</formula>
    </cfRule>
  </conditionalFormatting>
  <conditionalFormatting sqref="C79:C89">
    <cfRule type="cellIs" dxfId="1867" priority="860" operator="equal">
      <formula>"110"</formula>
    </cfRule>
  </conditionalFormatting>
  <conditionalFormatting sqref="C79:D89">
    <cfRule type="expression" dxfId="1866" priority="859">
      <formula>$C79="110"</formula>
    </cfRule>
  </conditionalFormatting>
  <conditionalFormatting sqref="C79:C89">
    <cfRule type="cellIs" dxfId="1865" priority="858" operator="equal">
      <formula>"310"</formula>
    </cfRule>
  </conditionalFormatting>
  <conditionalFormatting sqref="V79 F79:O89 V81:V84 V86:V89">
    <cfRule type="expression" dxfId="1864" priority="861">
      <formula>$E79="110"</formula>
    </cfRule>
  </conditionalFormatting>
  <conditionalFormatting sqref="T85 T80">
    <cfRule type="expression" dxfId="1863" priority="856">
      <formula>$C80="110"</formula>
    </cfRule>
  </conditionalFormatting>
  <conditionalFormatting sqref="E91:E93">
    <cfRule type="expression" dxfId="1862" priority="851">
      <formula>$C91="110"</formula>
    </cfRule>
  </conditionalFormatting>
  <conditionalFormatting sqref="C91:C93">
    <cfRule type="cellIs" dxfId="1861" priority="854" operator="equal">
      <formula>"110"</formula>
    </cfRule>
  </conditionalFormatting>
  <conditionalFormatting sqref="C91:D93">
    <cfRule type="expression" dxfId="1860" priority="853">
      <formula>$C91="110"</formula>
    </cfRule>
  </conditionalFormatting>
  <conditionalFormatting sqref="C91:C93">
    <cfRule type="cellIs" dxfId="1859" priority="852" operator="equal">
      <formula>"310"</formula>
    </cfRule>
  </conditionalFormatting>
  <conditionalFormatting sqref="V91:V93 F91:O93">
    <cfRule type="expression" dxfId="1858" priority="855">
      <formula>$E91="110"</formula>
    </cfRule>
  </conditionalFormatting>
  <conditionalFormatting sqref="E95:E102">
    <cfRule type="expression" dxfId="1857" priority="846">
      <formula>$C95="110"</formula>
    </cfRule>
  </conditionalFormatting>
  <conditionalFormatting sqref="C95:C102">
    <cfRule type="cellIs" dxfId="1856" priority="849" operator="equal">
      <formula>"110"</formula>
    </cfRule>
  </conditionalFormatting>
  <conditionalFormatting sqref="C95:D102">
    <cfRule type="expression" dxfId="1855" priority="848">
      <formula>$C95="110"</formula>
    </cfRule>
  </conditionalFormatting>
  <conditionalFormatting sqref="C95:C102">
    <cfRule type="cellIs" dxfId="1854" priority="847" operator="equal">
      <formula>"310"</formula>
    </cfRule>
  </conditionalFormatting>
  <conditionalFormatting sqref="V96:V102 F95:O102">
    <cfRule type="expression" dxfId="1853" priority="850">
      <formula>$E95="110"</formula>
    </cfRule>
  </conditionalFormatting>
  <conditionalFormatting sqref="T95">
    <cfRule type="expression" dxfId="1852" priority="845">
      <formula>$C95="110"</formula>
    </cfRule>
  </conditionalFormatting>
  <conditionalFormatting sqref="T98">
    <cfRule type="expression" dxfId="1851" priority="844">
      <formula>$C98="110"</formula>
    </cfRule>
  </conditionalFormatting>
  <conditionalFormatting sqref="T108">
    <cfRule type="expression" dxfId="1850" priority="838">
      <formula>$C108="110"</formula>
    </cfRule>
  </conditionalFormatting>
  <conditionalFormatting sqref="E104:E117">
    <cfRule type="expression" dxfId="1849" priority="839">
      <formula>$C104="110"</formula>
    </cfRule>
  </conditionalFormatting>
  <conditionalFormatting sqref="C104:C117">
    <cfRule type="cellIs" dxfId="1848" priority="842" operator="equal">
      <formula>"110"</formula>
    </cfRule>
  </conditionalFormatting>
  <conditionalFormatting sqref="C104:D117">
    <cfRule type="expression" dxfId="1847" priority="841">
      <formula>$C104="110"</formula>
    </cfRule>
  </conditionalFormatting>
  <conditionalFormatting sqref="C104:C117">
    <cfRule type="cellIs" dxfId="1846" priority="840" operator="equal">
      <formula>"310"</formula>
    </cfRule>
  </conditionalFormatting>
  <conditionalFormatting sqref="V104:V117 F104:O117">
    <cfRule type="expression" dxfId="1845" priority="843">
      <formula>$E104="110"</formula>
    </cfRule>
  </conditionalFormatting>
  <conditionalFormatting sqref="E119:E124">
    <cfRule type="expression" dxfId="1844" priority="837">
      <formula>$C119="110"</formula>
    </cfRule>
  </conditionalFormatting>
  <conditionalFormatting sqref="T128">
    <cfRule type="expression" dxfId="1843" priority="831">
      <formula>$C128="110"</formula>
    </cfRule>
  </conditionalFormatting>
  <conditionalFormatting sqref="C128:C134">
    <cfRule type="cellIs" dxfId="1842" priority="835" operator="equal">
      <formula>"110"</formula>
    </cfRule>
  </conditionalFormatting>
  <conditionalFormatting sqref="C128:D134">
    <cfRule type="expression" dxfId="1841" priority="834">
      <formula>$C128="110"</formula>
    </cfRule>
  </conditionalFormatting>
  <conditionalFormatting sqref="C128:C134">
    <cfRule type="cellIs" dxfId="1840" priority="833" operator="equal">
      <formula>"310"</formula>
    </cfRule>
  </conditionalFormatting>
  <conditionalFormatting sqref="V129:V134 F128:O134">
    <cfRule type="expression" dxfId="1839" priority="836">
      <formula>$E128="110"</formula>
    </cfRule>
  </conditionalFormatting>
  <conditionalFormatting sqref="E128:E134">
    <cfRule type="expression" dxfId="1838" priority="832">
      <formula>$C128="110"</formula>
    </cfRule>
  </conditionalFormatting>
  <conditionalFormatting sqref="T137">
    <cfRule type="expression" dxfId="1837" priority="825">
      <formula>$C137="110"</formula>
    </cfRule>
  </conditionalFormatting>
  <conditionalFormatting sqref="C136:C147">
    <cfRule type="cellIs" dxfId="1836" priority="829" operator="equal">
      <formula>"110"</formula>
    </cfRule>
  </conditionalFormatting>
  <conditionalFormatting sqref="C136:D147">
    <cfRule type="expression" dxfId="1835" priority="828">
      <formula>$C136="110"</formula>
    </cfRule>
  </conditionalFormatting>
  <conditionalFormatting sqref="C136:C147">
    <cfRule type="cellIs" dxfId="1834" priority="827" operator="equal">
      <formula>"310"</formula>
    </cfRule>
  </conditionalFormatting>
  <conditionalFormatting sqref="V136 F136:O147 V138:V147">
    <cfRule type="expression" dxfId="1833" priority="830">
      <formula>$E136="110"</formula>
    </cfRule>
  </conditionalFormatting>
  <conditionalFormatting sqref="E136:E147">
    <cfRule type="expression" dxfId="1832" priority="826">
      <formula>$C136="110"</formula>
    </cfRule>
  </conditionalFormatting>
  <conditionalFormatting sqref="T173 T151">
    <cfRule type="expression" dxfId="1831" priority="819">
      <formula>$C151="110"</formula>
    </cfRule>
  </conditionalFormatting>
  <conditionalFormatting sqref="C173:C176 C178:C180 C151:C171">
    <cfRule type="cellIs" dxfId="1830" priority="823" operator="equal">
      <formula>"110"</formula>
    </cfRule>
  </conditionalFormatting>
  <conditionalFormatting sqref="C173:D176 C178:D180 C151:D171">
    <cfRule type="expression" dxfId="1829" priority="822">
      <formula>$C151="110"</formula>
    </cfRule>
  </conditionalFormatting>
  <conditionalFormatting sqref="C173:C176 C178:C180 C151:C171">
    <cfRule type="cellIs" dxfId="1828" priority="821" operator="equal">
      <formula>"310"</formula>
    </cfRule>
  </conditionalFormatting>
  <conditionalFormatting sqref="V152:V163 F151:O171 F173:O176 V178:V180 F178:O180 V165:V171">
    <cfRule type="expression" dxfId="1827" priority="824">
      <formula>$E151="110"</formula>
    </cfRule>
  </conditionalFormatting>
  <conditionalFormatting sqref="E151:E171 E173:E176 E178:E180">
    <cfRule type="expression" dxfId="1826" priority="820">
      <formula>$C151="110"</formula>
    </cfRule>
  </conditionalFormatting>
  <conditionalFormatting sqref="T168:T171 T164">
    <cfRule type="expression" dxfId="1825" priority="818">
      <formula>$C164="110"</formula>
    </cfRule>
  </conditionalFormatting>
  <conditionalFormatting sqref="T182">
    <cfRule type="expression" dxfId="1824" priority="812">
      <formula>$C182="110"</formula>
    </cfRule>
  </conditionalFormatting>
  <conditionalFormatting sqref="C182">
    <cfRule type="cellIs" dxfId="1823" priority="816" operator="equal">
      <formula>"110"</formula>
    </cfRule>
  </conditionalFormatting>
  <conditionalFormatting sqref="C182:D182">
    <cfRule type="expression" dxfId="1822" priority="815">
      <formula>$C182="110"</formula>
    </cfRule>
  </conditionalFormatting>
  <conditionalFormatting sqref="C182">
    <cfRule type="cellIs" dxfId="1821" priority="814" operator="equal">
      <formula>"310"</formula>
    </cfRule>
  </conditionalFormatting>
  <conditionalFormatting sqref="V182 F182:O182">
    <cfRule type="expression" dxfId="1820" priority="817">
      <formula>$E182="110"</formula>
    </cfRule>
  </conditionalFormatting>
  <conditionalFormatting sqref="E182">
    <cfRule type="expression" dxfId="1819" priority="813">
      <formula>$C182="110"</formula>
    </cfRule>
  </conditionalFormatting>
  <conditionalFormatting sqref="C184:C220">
    <cfRule type="cellIs" dxfId="1818" priority="810" operator="equal">
      <formula>"110"</formula>
    </cfRule>
  </conditionalFormatting>
  <conditionalFormatting sqref="C184:D220">
    <cfRule type="expression" dxfId="1817" priority="809">
      <formula>$C184="110"</formula>
    </cfRule>
  </conditionalFormatting>
  <conditionalFormatting sqref="C184:C220">
    <cfRule type="cellIs" dxfId="1816" priority="808" operator="equal">
      <formula>"310"</formula>
    </cfRule>
  </conditionalFormatting>
  <conditionalFormatting sqref="E184:E220">
    <cfRule type="expression" dxfId="1815" priority="807">
      <formula>$C184="110"</formula>
    </cfRule>
  </conditionalFormatting>
  <conditionalFormatting sqref="T220 T216:T217 T184:T185">
    <cfRule type="expression" dxfId="1814" priority="806">
      <formula>$C184="110"</formula>
    </cfRule>
  </conditionalFormatting>
  <conditionalFormatting sqref="F184:O220 V185:V215 V217:V219">
    <cfRule type="expression" dxfId="1813" priority="811">
      <formula>$E184="110"</formula>
    </cfRule>
  </conditionalFormatting>
  <conditionalFormatting sqref="T222">
    <cfRule type="expression" dxfId="1812" priority="800">
      <formula>$C222="110"</formula>
    </cfRule>
  </conditionalFormatting>
  <conditionalFormatting sqref="C222:C225">
    <cfRule type="cellIs" dxfId="1811" priority="804" operator="equal">
      <formula>"110"</formula>
    </cfRule>
  </conditionalFormatting>
  <conditionalFormatting sqref="C222:D225">
    <cfRule type="expression" dxfId="1810" priority="803">
      <formula>$C222="110"</formula>
    </cfRule>
  </conditionalFormatting>
  <conditionalFormatting sqref="C222:C225">
    <cfRule type="cellIs" dxfId="1809" priority="802" operator="equal">
      <formula>"310"</formula>
    </cfRule>
  </conditionalFormatting>
  <conditionalFormatting sqref="E222:E225">
    <cfRule type="expression" dxfId="1808" priority="801">
      <formula>$C222="110"</formula>
    </cfRule>
  </conditionalFormatting>
  <conditionalFormatting sqref="F222:O225 V223:V225">
    <cfRule type="expression" dxfId="1807" priority="805">
      <formula>$E222="110"</formula>
    </cfRule>
  </conditionalFormatting>
  <conditionalFormatting sqref="C227:C231">
    <cfRule type="cellIs" dxfId="1806" priority="798" operator="equal">
      <formula>"110"</formula>
    </cfRule>
  </conditionalFormatting>
  <conditionalFormatting sqref="C227:D231">
    <cfRule type="expression" dxfId="1805" priority="797">
      <formula>$C227="110"</formula>
    </cfRule>
  </conditionalFormatting>
  <conditionalFormatting sqref="C227:C231">
    <cfRule type="cellIs" dxfId="1804" priority="796" operator="equal">
      <formula>"310"</formula>
    </cfRule>
  </conditionalFormatting>
  <conditionalFormatting sqref="E227:E231">
    <cfRule type="expression" dxfId="1803" priority="795">
      <formula>$C227="110"</formula>
    </cfRule>
  </conditionalFormatting>
  <conditionalFormatting sqref="F227:O231 V228:V231">
    <cfRule type="expression" dxfId="1802" priority="799">
      <formula>$E227="110"</formula>
    </cfRule>
  </conditionalFormatting>
  <conditionalFormatting sqref="C233:C246">
    <cfRule type="cellIs" dxfId="1801" priority="793" operator="equal">
      <formula>"110"</formula>
    </cfRule>
  </conditionalFormatting>
  <conditionalFormatting sqref="C233:D246">
    <cfRule type="expression" dxfId="1800" priority="792">
      <formula>$C233="110"</formula>
    </cfRule>
  </conditionalFormatting>
  <conditionalFormatting sqref="C233:C246">
    <cfRule type="cellIs" dxfId="1799" priority="791" operator="equal">
      <formula>"310"</formula>
    </cfRule>
  </conditionalFormatting>
  <conditionalFormatting sqref="E233:E246">
    <cfRule type="expression" dxfId="1798" priority="790">
      <formula>$C233="110"</formula>
    </cfRule>
  </conditionalFormatting>
  <conditionalFormatting sqref="F233:O246 V234:V246">
    <cfRule type="expression" dxfId="1797" priority="794">
      <formula>$E233="110"</formula>
    </cfRule>
  </conditionalFormatting>
  <conditionalFormatting sqref="T246 T233">
    <cfRule type="expression" dxfId="1796" priority="789">
      <formula>$C233="110"</formula>
    </cfRule>
  </conditionalFormatting>
  <conditionalFormatting sqref="T271 T267 T265 T262:T263 T256">
    <cfRule type="expression" dxfId="1795" priority="783">
      <formula>$C256="110"</formula>
    </cfRule>
  </conditionalFormatting>
  <conditionalFormatting sqref="C251:C273">
    <cfRule type="cellIs" dxfId="1794" priority="787" operator="equal">
      <formula>"110"</formula>
    </cfRule>
  </conditionalFormatting>
  <conditionalFormatting sqref="C251:D273">
    <cfRule type="expression" dxfId="1793" priority="786">
      <formula>$C251="110"</formula>
    </cfRule>
  </conditionalFormatting>
  <conditionalFormatting sqref="C251:C273">
    <cfRule type="cellIs" dxfId="1792" priority="785" operator="equal">
      <formula>"310"</formula>
    </cfRule>
  </conditionalFormatting>
  <conditionalFormatting sqref="E251:E273">
    <cfRule type="expression" dxfId="1791" priority="784">
      <formula>$C251="110"</formula>
    </cfRule>
  </conditionalFormatting>
  <conditionalFormatting sqref="F251:O273 V251:V261 I250:O250 V264 V266:V273">
    <cfRule type="expression" dxfId="1790" priority="788">
      <formula>$E250="110"</formula>
    </cfRule>
  </conditionalFormatting>
  <conditionalFormatting sqref="T284 T275">
    <cfRule type="expression" dxfId="1789" priority="777">
      <formula>$C275="110"</formula>
    </cfRule>
  </conditionalFormatting>
  <conditionalFormatting sqref="C275:C288">
    <cfRule type="cellIs" dxfId="1788" priority="781" operator="equal">
      <formula>"110"</formula>
    </cfRule>
  </conditionalFormatting>
  <conditionalFormatting sqref="C275:D288">
    <cfRule type="expression" dxfId="1787" priority="780">
      <formula>$C275="110"</formula>
    </cfRule>
  </conditionalFormatting>
  <conditionalFormatting sqref="C275:C288">
    <cfRule type="cellIs" dxfId="1786" priority="779" operator="equal">
      <formula>"310"</formula>
    </cfRule>
  </conditionalFormatting>
  <conditionalFormatting sqref="E275:E288">
    <cfRule type="expression" dxfId="1785" priority="778">
      <formula>$C275="110"</formula>
    </cfRule>
  </conditionalFormatting>
  <conditionalFormatting sqref="F275:O288 V276:V288">
    <cfRule type="expression" dxfId="1784" priority="782">
      <formula>$E275="110"</formula>
    </cfRule>
  </conditionalFormatting>
  <conditionalFormatting sqref="T292">
    <cfRule type="expression" dxfId="1783" priority="771">
      <formula>$C292="110"</formula>
    </cfRule>
  </conditionalFormatting>
  <conditionalFormatting sqref="C292:C300">
    <cfRule type="cellIs" dxfId="1782" priority="775" operator="equal">
      <formula>"110"</formula>
    </cfRule>
  </conditionalFormatting>
  <conditionalFormatting sqref="C292:D300">
    <cfRule type="expression" dxfId="1781" priority="774">
      <formula>$C292="110"</formula>
    </cfRule>
  </conditionalFormatting>
  <conditionalFormatting sqref="C292:C300">
    <cfRule type="cellIs" dxfId="1780" priority="773" operator="equal">
      <formula>"310"</formula>
    </cfRule>
  </conditionalFormatting>
  <conditionalFormatting sqref="E292:E300">
    <cfRule type="expression" dxfId="1779" priority="772">
      <formula>$C292="110"</formula>
    </cfRule>
  </conditionalFormatting>
  <conditionalFormatting sqref="F292:O300 V293:V300">
    <cfRule type="expression" dxfId="1778" priority="776">
      <formula>$E292="110"</formula>
    </cfRule>
  </conditionalFormatting>
  <conditionalFormatting sqref="T303">
    <cfRule type="expression" dxfId="1777" priority="765">
      <formula>$C303="110"</formula>
    </cfRule>
  </conditionalFormatting>
  <conditionalFormatting sqref="C303:C313">
    <cfRule type="cellIs" dxfId="1776" priority="769" operator="equal">
      <formula>"110"</formula>
    </cfRule>
  </conditionalFormatting>
  <conditionalFormatting sqref="C303:D313">
    <cfRule type="expression" dxfId="1775" priority="768">
      <formula>$C303="110"</formula>
    </cfRule>
  </conditionalFormatting>
  <conditionalFormatting sqref="C303:C313">
    <cfRule type="cellIs" dxfId="1774" priority="767" operator="equal">
      <formula>"310"</formula>
    </cfRule>
  </conditionalFormatting>
  <conditionalFormatting sqref="E303:E313">
    <cfRule type="expression" dxfId="1773" priority="766">
      <formula>$C303="110"</formula>
    </cfRule>
  </conditionalFormatting>
  <conditionalFormatting sqref="F303:O313 V303:V313">
    <cfRule type="expression" dxfId="1772" priority="770">
      <formula>$E303="110"</formula>
    </cfRule>
  </conditionalFormatting>
  <conditionalFormatting sqref="T315">
    <cfRule type="expression" dxfId="1771" priority="759">
      <formula>$C315="110"</formula>
    </cfRule>
  </conditionalFormatting>
  <conditionalFormatting sqref="C315:C326">
    <cfRule type="cellIs" dxfId="1770" priority="763" operator="equal">
      <formula>"110"</formula>
    </cfRule>
  </conditionalFormatting>
  <conditionalFormatting sqref="C315:D326">
    <cfRule type="expression" dxfId="1769" priority="762">
      <formula>$C315="110"</formula>
    </cfRule>
  </conditionalFormatting>
  <conditionalFormatting sqref="C315:C326">
    <cfRule type="cellIs" dxfId="1768" priority="761" operator="equal">
      <formula>"310"</formula>
    </cfRule>
  </conditionalFormatting>
  <conditionalFormatting sqref="E315:E326">
    <cfRule type="expression" dxfId="1767" priority="760">
      <formula>$C315="110"</formula>
    </cfRule>
  </conditionalFormatting>
  <conditionalFormatting sqref="F315:O326 V316:V326">
    <cfRule type="expression" dxfId="1766" priority="764">
      <formula>$E315="110"</formula>
    </cfRule>
  </conditionalFormatting>
  <conditionalFormatting sqref="C328:C332">
    <cfRule type="cellIs" dxfId="1765" priority="757" operator="equal">
      <formula>"110"</formula>
    </cfRule>
  </conditionalFormatting>
  <conditionalFormatting sqref="C328:D332">
    <cfRule type="expression" dxfId="1764" priority="756">
      <formula>$C328="110"</formula>
    </cfRule>
  </conditionalFormatting>
  <conditionalFormatting sqref="C328:C332">
    <cfRule type="cellIs" dxfId="1763" priority="755" operator="equal">
      <formula>"310"</formula>
    </cfRule>
  </conditionalFormatting>
  <conditionalFormatting sqref="E328:E332">
    <cfRule type="expression" dxfId="1762" priority="754">
      <formula>$C328="110"</formula>
    </cfRule>
  </conditionalFormatting>
  <conditionalFormatting sqref="F328:O332 V328:V332">
    <cfRule type="expression" dxfId="1761" priority="758">
      <formula>$E328="110"</formula>
    </cfRule>
  </conditionalFormatting>
  <conditionalFormatting sqref="T334">
    <cfRule type="expression" dxfId="1760" priority="748">
      <formula>$C334="110"</formula>
    </cfRule>
  </conditionalFormatting>
  <conditionalFormatting sqref="C334:C338">
    <cfRule type="cellIs" dxfId="1759" priority="752" operator="equal">
      <formula>"110"</formula>
    </cfRule>
  </conditionalFormatting>
  <conditionalFormatting sqref="C334:D338">
    <cfRule type="expression" dxfId="1758" priority="751">
      <formula>$C334="110"</formula>
    </cfRule>
  </conditionalFormatting>
  <conditionalFormatting sqref="C334:C338">
    <cfRule type="cellIs" dxfId="1757" priority="750" operator="equal">
      <formula>"310"</formula>
    </cfRule>
  </conditionalFormatting>
  <conditionalFormatting sqref="E334:E338">
    <cfRule type="expression" dxfId="1756" priority="749">
      <formula>$C334="110"</formula>
    </cfRule>
  </conditionalFormatting>
  <conditionalFormatting sqref="F334:O338 V335:V338">
    <cfRule type="expression" dxfId="1755" priority="753">
      <formula>$E334="110"</formula>
    </cfRule>
  </conditionalFormatting>
  <conditionalFormatting sqref="C340:C346">
    <cfRule type="cellIs" dxfId="1754" priority="746" operator="equal">
      <formula>"110"</formula>
    </cfRule>
  </conditionalFormatting>
  <conditionalFormatting sqref="C340:D346">
    <cfRule type="expression" dxfId="1753" priority="745">
      <formula>$C340="110"</formula>
    </cfRule>
  </conditionalFormatting>
  <conditionalFormatting sqref="C340:C346">
    <cfRule type="cellIs" dxfId="1752" priority="744" operator="equal">
      <formula>"310"</formula>
    </cfRule>
  </conditionalFormatting>
  <conditionalFormatting sqref="E340:E346">
    <cfRule type="expression" dxfId="1751" priority="743">
      <formula>$C340="110"</formula>
    </cfRule>
  </conditionalFormatting>
  <conditionalFormatting sqref="F340:O346 V340:V346">
    <cfRule type="expression" dxfId="1750" priority="747">
      <formula>$E340="110"</formula>
    </cfRule>
  </conditionalFormatting>
  <conditionalFormatting sqref="C348:C355">
    <cfRule type="cellIs" dxfId="1749" priority="741" operator="equal">
      <formula>"110"</formula>
    </cfRule>
  </conditionalFormatting>
  <conditionalFormatting sqref="C348:D355">
    <cfRule type="expression" dxfId="1748" priority="740">
      <formula>$C348="110"</formula>
    </cfRule>
  </conditionalFormatting>
  <conditionalFormatting sqref="C348:C355">
    <cfRule type="cellIs" dxfId="1747" priority="739" operator="equal">
      <formula>"310"</formula>
    </cfRule>
  </conditionalFormatting>
  <conditionalFormatting sqref="E348:E355">
    <cfRule type="expression" dxfId="1746" priority="738">
      <formula>$C348="110"</formula>
    </cfRule>
  </conditionalFormatting>
  <conditionalFormatting sqref="F348:O355 V348:V355">
    <cfRule type="expression" dxfId="1745" priority="742">
      <formula>$E348="110"</formula>
    </cfRule>
  </conditionalFormatting>
  <conditionalFormatting sqref="C359:C363">
    <cfRule type="cellIs" dxfId="1744" priority="736" operator="equal">
      <formula>"110"</formula>
    </cfRule>
  </conditionalFormatting>
  <conditionalFormatting sqref="C359:D363">
    <cfRule type="expression" dxfId="1743" priority="735">
      <formula>$C359="110"</formula>
    </cfRule>
  </conditionalFormatting>
  <conditionalFormatting sqref="C359:C363">
    <cfRule type="cellIs" dxfId="1742" priority="734" operator="equal">
      <formula>"310"</formula>
    </cfRule>
  </conditionalFormatting>
  <conditionalFormatting sqref="E359:E363">
    <cfRule type="expression" dxfId="1741" priority="733">
      <formula>$C359="110"</formula>
    </cfRule>
  </conditionalFormatting>
  <conditionalFormatting sqref="F359:O363 V359:V363">
    <cfRule type="expression" dxfId="1740" priority="737">
      <formula>$E359="110"</formula>
    </cfRule>
  </conditionalFormatting>
  <conditionalFormatting sqref="T394 T378 T370 T366">
    <cfRule type="expression" dxfId="1739" priority="727">
      <formula>$C366="110"</formula>
    </cfRule>
  </conditionalFormatting>
  <conditionalFormatting sqref="C366:C394">
    <cfRule type="cellIs" dxfId="1738" priority="731" operator="equal">
      <formula>"110"</formula>
    </cfRule>
  </conditionalFormatting>
  <conditionalFormatting sqref="C366:D394">
    <cfRule type="expression" dxfId="1737" priority="730">
      <formula>$C366="110"</formula>
    </cfRule>
  </conditionalFormatting>
  <conditionalFormatting sqref="C366:C394">
    <cfRule type="cellIs" dxfId="1736" priority="729" operator="equal">
      <formula>"310"</formula>
    </cfRule>
  </conditionalFormatting>
  <conditionalFormatting sqref="E366:E394">
    <cfRule type="expression" dxfId="1735" priority="728">
      <formula>$C366="110"</formula>
    </cfRule>
  </conditionalFormatting>
  <conditionalFormatting sqref="F366:O394 V367:V369 V371:V377 V379:V394">
    <cfRule type="expression" dxfId="1734" priority="732">
      <formula>$E366="110"</formula>
    </cfRule>
  </conditionalFormatting>
  <conditionalFormatting sqref="T22">
    <cfRule type="expression" dxfId="1733" priority="726">
      <formula>$C22="110"</formula>
    </cfRule>
  </conditionalFormatting>
  <conditionalFormatting sqref="T27:T43">
    <cfRule type="expression" dxfId="1732" priority="725">
      <formula>$C27="110"</formula>
    </cfRule>
  </conditionalFormatting>
  <conditionalFormatting sqref="T46:T48">
    <cfRule type="expression" dxfId="1731" priority="724">
      <formula>$C46="110"</formula>
    </cfRule>
  </conditionalFormatting>
  <conditionalFormatting sqref="T50">
    <cfRule type="expression" dxfId="1730" priority="723">
      <formula>$C50="110"</formula>
    </cfRule>
  </conditionalFormatting>
  <conditionalFormatting sqref="T53:T55 T57:T58 T61:T62">
    <cfRule type="expression" dxfId="1729" priority="722">
      <formula>$C53="110"</formula>
    </cfRule>
  </conditionalFormatting>
  <conditionalFormatting sqref="T67">
    <cfRule type="expression" dxfId="1728" priority="721">
      <formula>$C67="110"</formula>
    </cfRule>
  </conditionalFormatting>
  <conditionalFormatting sqref="T73:T75">
    <cfRule type="expression" dxfId="1727" priority="720">
      <formula>$C73="110"</formula>
    </cfRule>
  </conditionalFormatting>
  <conditionalFormatting sqref="T78:T79 T81:T84 T86:T89">
    <cfRule type="expression" dxfId="1726" priority="719">
      <formula>$C78="110"</formula>
    </cfRule>
  </conditionalFormatting>
  <conditionalFormatting sqref="T91">
    <cfRule type="expression" dxfId="1725" priority="718">
      <formula>$C91="110"</formula>
    </cfRule>
  </conditionalFormatting>
  <conditionalFormatting sqref="T93">
    <cfRule type="expression" dxfId="1724" priority="717">
      <formula>$C93="110"</formula>
    </cfRule>
  </conditionalFormatting>
  <conditionalFormatting sqref="T92">
    <cfRule type="expression" dxfId="1723" priority="716">
      <formula>$C92="110"</formula>
    </cfRule>
  </conditionalFormatting>
  <conditionalFormatting sqref="T96:T97 T99:T102">
    <cfRule type="expression" dxfId="1722" priority="715">
      <formula>$C96="110"</formula>
    </cfRule>
  </conditionalFormatting>
  <conditionalFormatting sqref="T104:T107 T109:T117">
    <cfRule type="expression" dxfId="1721" priority="714">
      <formula>$C104="110"</formula>
    </cfRule>
  </conditionalFormatting>
  <conditionalFormatting sqref="T120:T124">
    <cfRule type="expression" dxfId="1720" priority="713">
      <formula>$C120="110"</formula>
    </cfRule>
  </conditionalFormatting>
  <conditionalFormatting sqref="T127 T129:T134">
    <cfRule type="expression" dxfId="1719" priority="712">
      <formula>$C127="110"</formula>
    </cfRule>
  </conditionalFormatting>
  <conditionalFormatting sqref="T136 T138:T147">
    <cfRule type="expression" dxfId="1718" priority="711">
      <formula>$C136="110"</formula>
    </cfRule>
  </conditionalFormatting>
  <conditionalFormatting sqref="T152:T153 T165:T167 T155:T163">
    <cfRule type="expression" dxfId="1717" priority="710">
      <formula>$C152="110"</formula>
    </cfRule>
  </conditionalFormatting>
  <conditionalFormatting sqref="T174:T176">
    <cfRule type="expression" dxfId="1716" priority="709">
      <formula>$C174="110"</formula>
    </cfRule>
  </conditionalFormatting>
  <conditionalFormatting sqref="T178:T180">
    <cfRule type="expression" dxfId="1715" priority="708">
      <formula>$C178="110"</formula>
    </cfRule>
  </conditionalFormatting>
  <conditionalFormatting sqref="T186:T215 T218:T219">
    <cfRule type="expression" dxfId="1714" priority="707">
      <formula>$C186="110"</formula>
    </cfRule>
  </conditionalFormatting>
  <conditionalFormatting sqref="T223:T225">
    <cfRule type="expression" dxfId="1713" priority="706">
      <formula>$C223="110"</formula>
    </cfRule>
  </conditionalFormatting>
  <conditionalFormatting sqref="T228:T231">
    <cfRule type="expression" dxfId="1712" priority="705">
      <formula>$C228="110"</formula>
    </cfRule>
  </conditionalFormatting>
  <conditionalFormatting sqref="T234:T245">
    <cfRule type="expression" dxfId="1711" priority="704">
      <formula>$C234="110"</formula>
    </cfRule>
  </conditionalFormatting>
  <conditionalFormatting sqref="T249:T255 T257:T261 T264 T266 T268:T270 T272:T273">
    <cfRule type="expression" dxfId="1710" priority="703">
      <formula>$C249="110"</formula>
    </cfRule>
  </conditionalFormatting>
  <conditionalFormatting sqref="T276:T283 T285:T288">
    <cfRule type="expression" dxfId="1709" priority="702">
      <formula>$C276="110"</formula>
    </cfRule>
  </conditionalFormatting>
  <conditionalFormatting sqref="T291 T293:T296 T298:T300">
    <cfRule type="expression" dxfId="1708" priority="701">
      <formula>$C291="110"</formula>
    </cfRule>
  </conditionalFormatting>
  <conditionalFormatting sqref="T302 T304:T313">
    <cfRule type="expression" dxfId="1707" priority="700">
      <formula>$C302="110"</formula>
    </cfRule>
  </conditionalFormatting>
  <conditionalFormatting sqref="T316:T326">
    <cfRule type="expression" dxfId="1706" priority="699">
      <formula>$C316="110"</formula>
    </cfRule>
  </conditionalFormatting>
  <conditionalFormatting sqref="T328:T332">
    <cfRule type="expression" dxfId="1705" priority="698">
      <formula>$C328="110"</formula>
    </cfRule>
  </conditionalFormatting>
  <conditionalFormatting sqref="T335:T338">
    <cfRule type="expression" dxfId="1704" priority="697">
      <formula>$C335="110"</formula>
    </cfRule>
  </conditionalFormatting>
  <conditionalFormatting sqref="T340:T346">
    <cfRule type="expression" dxfId="1703" priority="696">
      <formula>$C340="110"</formula>
    </cfRule>
  </conditionalFormatting>
  <conditionalFormatting sqref="T348:T355">
    <cfRule type="expression" dxfId="1702" priority="695">
      <formula>$C348="110"</formula>
    </cfRule>
  </conditionalFormatting>
  <conditionalFormatting sqref="T358:T363">
    <cfRule type="expression" dxfId="1701" priority="694">
      <formula>$C358="110"</formula>
    </cfRule>
  </conditionalFormatting>
  <conditionalFormatting sqref="T365 T367:T369 T371:T377 T379:T390 T392">
    <cfRule type="expression" dxfId="1700" priority="693">
      <formula>$C365="110"</formula>
    </cfRule>
  </conditionalFormatting>
  <conditionalFormatting sqref="C250">
    <cfRule type="cellIs" dxfId="1699" priority="692" operator="equal">
      <formula>"110"</formula>
    </cfRule>
  </conditionalFormatting>
  <conditionalFormatting sqref="C250:D250">
    <cfRule type="expression" dxfId="1698" priority="691">
      <formula>$C250="110"</formula>
    </cfRule>
  </conditionalFormatting>
  <conditionalFormatting sqref="C250">
    <cfRule type="cellIs" dxfId="1697" priority="690" operator="equal">
      <formula>"310"</formula>
    </cfRule>
  </conditionalFormatting>
  <conditionalFormatting sqref="E250">
    <cfRule type="expression" dxfId="1696" priority="689">
      <formula>$C250="110"</formula>
    </cfRule>
  </conditionalFormatting>
  <conditionalFormatting sqref="F250:H250">
    <cfRule type="expression" dxfId="1695" priority="688">
      <formula>$C250="110"</formula>
    </cfRule>
  </conditionalFormatting>
  <conditionalFormatting sqref="T227">
    <cfRule type="expression" dxfId="1694" priority="687">
      <formula>$C227="110"</formula>
    </cfRule>
  </conditionalFormatting>
  <conditionalFormatting sqref="T119">
    <cfRule type="expression" dxfId="1693" priority="686">
      <formula>$C119="110"</formula>
    </cfRule>
  </conditionalFormatting>
  <conditionalFormatting sqref="B2:C2">
    <cfRule type="cellIs" dxfId="1692" priority="685" operator="equal">
      <formula>"110"</formula>
    </cfRule>
  </conditionalFormatting>
  <conditionalFormatting sqref="S400:S1048576">
    <cfRule type="cellIs" dxfId="1691" priority="684" operator="equal">
      <formula>"110"</formula>
    </cfRule>
  </conditionalFormatting>
  <conditionalFormatting sqref="S3">
    <cfRule type="expression" dxfId="1690" priority="683">
      <formula>$C3="110"</formula>
    </cfRule>
  </conditionalFormatting>
  <conditionalFormatting sqref="S7:S16">
    <cfRule type="expression" dxfId="1689" priority="682">
      <formula>$C7="110"</formula>
    </cfRule>
  </conditionalFormatting>
  <conditionalFormatting sqref="S4">
    <cfRule type="expression" dxfId="1688" priority="681">
      <formula>$C4="110"</formula>
    </cfRule>
  </conditionalFormatting>
  <conditionalFormatting sqref="S18:S19">
    <cfRule type="expression" dxfId="1687" priority="680">
      <formula>$C18="110"</formula>
    </cfRule>
  </conditionalFormatting>
  <conditionalFormatting sqref="S50">
    <cfRule type="expression" dxfId="1686" priority="679">
      <formula>$C50="110"</formula>
    </cfRule>
  </conditionalFormatting>
  <conditionalFormatting sqref="S73:S75">
    <cfRule type="expression" dxfId="1685" priority="678">
      <formula>$C73="110"</formula>
    </cfRule>
  </conditionalFormatting>
  <conditionalFormatting sqref="S78:S79 S81">
    <cfRule type="expression" dxfId="1684" priority="677">
      <formula>$C78="110"</formula>
    </cfRule>
  </conditionalFormatting>
  <conditionalFormatting sqref="S91">
    <cfRule type="expression" dxfId="1683" priority="676">
      <formula>$C91="110"</formula>
    </cfRule>
  </conditionalFormatting>
  <conditionalFormatting sqref="S302">
    <cfRule type="expression" dxfId="1682" priority="675">
      <formula>$C302="110"</formula>
    </cfRule>
  </conditionalFormatting>
  <conditionalFormatting sqref="S365">
    <cfRule type="expression" dxfId="1681" priority="674">
      <formula>$C365="110"</formula>
    </cfRule>
  </conditionalFormatting>
  <conditionalFormatting sqref="S64">
    <cfRule type="expression" dxfId="1680" priority="670">
      <formula>$C64="110"</formula>
    </cfRule>
  </conditionalFormatting>
  <conditionalFormatting sqref="S24">
    <cfRule type="expression" dxfId="1679" priority="673">
      <formula>$C24="110"</formula>
    </cfRule>
  </conditionalFormatting>
  <conditionalFormatting sqref="S53:S55">
    <cfRule type="expression" dxfId="1678" priority="631">
      <formula>$C53="110"</formula>
    </cfRule>
  </conditionalFormatting>
  <conditionalFormatting sqref="S22">
    <cfRule type="expression" dxfId="1677" priority="672">
      <formula>$C22="110"</formula>
    </cfRule>
  </conditionalFormatting>
  <conditionalFormatting sqref="S262:S263">
    <cfRule type="expression" dxfId="1676" priority="645">
      <formula>$C262="110"</formula>
    </cfRule>
  </conditionalFormatting>
  <conditionalFormatting sqref="S27:S28 S30:S43">
    <cfRule type="expression" dxfId="1675" priority="671">
      <formula>$C27="110"</formula>
    </cfRule>
  </conditionalFormatting>
  <conditionalFormatting sqref="S68">
    <cfRule type="expression" dxfId="1674" priority="668">
      <formula>$C68="110"</formula>
    </cfRule>
  </conditionalFormatting>
  <conditionalFormatting sqref="S292">
    <cfRule type="expression" dxfId="1673" priority="639">
      <formula>$C292="110"</formula>
    </cfRule>
  </conditionalFormatting>
  <conditionalFormatting sqref="S271">
    <cfRule type="expression" dxfId="1672" priority="642">
      <formula>$C271="110"</formula>
    </cfRule>
  </conditionalFormatting>
  <conditionalFormatting sqref="S182">
    <cfRule type="expression" dxfId="1671" priority="655">
      <formula>$C182="110"</formula>
    </cfRule>
  </conditionalFormatting>
  <conditionalFormatting sqref="S265">
    <cfRule type="expression" dxfId="1670" priority="644">
      <formula>$C265="110"</formula>
    </cfRule>
  </conditionalFormatting>
  <conditionalFormatting sqref="S66">
    <cfRule type="expression" dxfId="1669" priority="669">
      <formula>$C66="110"</formula>
    </cfRule>
  </conditionalFormatting>
  <conditionalFormatting sqref="S61:S62">
    <cfRule type="expression" dxfId="1668" priority="629">
      <formula>$C61="110"</formula>
    </cfRule>
  </conditionalFormatting>
  <conditionalFormatting sqref="S80">
    <cfRule type="expression" dxfId="1667" priority="667">
      <formula>$C80="110"</formula>
    </cfRule>
  </conditionalFormatting>
  <conditionalFormatting sqref="S85">
    <cfRule type="expression" dxfId="1666" priority="666">
      <formula>$C85="110"</formula>
    </cfRule>
  </conditionalFormatting>
  <conditionalFormatting sqref="S95">
    <cfRule type="expression" dxfId="1665" priority="665">
      <formula>$C95="110"</formula>
    </cfRule>
  </conditionalFormatting>
  <conditionalFormatting sqref="S98">
    <cfRule type="expression" dxfId="1664" priority="664">
      <formula>$C98="110"</formula>
    </cfRule>
  </conditionalFormatting>
  <conditionalFormatting sqref="S108">
    <cfRule type="expression" dxfId="1663" priority="663">
      <formula>$C108="110"</formula>
    </cfRule>
  </conditionalFormatting>
  <conditionalFormatting sqref="S119">
    <cfRule type="expression" dxfId="1662" priority="662">
      <formula>$C119="110"</formula>
    </cfRule>
  </conditionalFormatting>
  <conditionalFormatting sqref="S128">
    <cfRule type="expression" dxfId="1661" priority="661">
      <formula>$C128="110"</formula>
    </cfRule>
  </conditionalFormatting>
  <conditionalFormatting sqref="S137">
    <cfRule type="expression" dxfId="1660" priority="660">
      <formula>$C137="110"</formula>
    </cfRule>
  </conditionalFormatting>
  <conditionalFormatting sqref="S151">
    <cfRule type="expression" dxfId="1659" priority="659">
      <formula>$C151="110"</formula>
    </cfRule>
  </conditionalFormatting>
  <conditionalFormatting sqref="S164">
    <cfRule type="expression" dxfId="1658" priority="658">
      <formula>$C164="110"</formula>
    </cfRule>
  </conditionalFormatting>
  <conditionalFormatting sqref="S168">
    <cfRule type="expression" dxfId="1657" priority="657">
      <formula>$C168="110"</formula>
    </cfRule>
  </conditionalFormatting>
  <conditionalFormatting sqref="S173">
    <cfRule type="expression" dxfId="1656" priority="656">
      <formula>$C173="110"</formula>
    </cfRule>
  </conditionalFormatting>
  <conditionalFormatting sqref="S127">
    <cfRule type="expression" dxfId="1655" priority="617">
      <formula>$C127="110"</formula>
    </cfRule>
  </conditionalFormatting>
  <conditionalFormatting sqref="S184">
    <cfRule type="expression" dxfId="1654" priority="654">
      <formula>$C184="110"</formula>
    </cfRule>
  </conditionalFormatting>
  <conditionalFormatting sqref="S216">
    <cfRule type="expression" dxfId="1653" priority="653">
      <formula>$C216="110"</formula>
    </cfRule>
  </conditionalFormatting>
  <conditionalFormatting sqref="S220">
    <cfRule type="expression" dxfId="1652" priority="652">
      <formula>$C220="110"</formula>
    </cfRule>
  </conditionalFormatting>
  <conditionalFormatting sqref="S222">
    <cfRule type="expression" dxfId="1651" priority="651">
      <formula>$C222="110"</formula>
    </cfRule>
  </conditionalFormatting>
  <conditionalFormatting sqref="S227">
    <cfRule type="expression" dxfId="1650" priority="650">
      <formula>$C227="110"</formula>
    </cfRule>
  </conditionalFormatting>
  <conditionalFormatting sqref="S233">
    <cfRule type="expression" dxfId="1649" priority="649">
      <formula>$C233="110"</formula>
    </cfRule>
  </conditionalFormatting>
  <conditionalFormatting sqref="S246">
    <cfRule type="expression" dxfId="1648" priority="648">
      <formula>$C246="110"</formula>
    </cfRule>
  </conditionalFormatting>
  <conditionalFormatting sqref="S250">
    <cfRule type="expression" dxfId="1647" priority="647">
      <formula>$C250="110"</formula>
    </cfRule>
  </conditionalFormatting>
  <conditionalFormatting sqref="S256">
    <cfRule type="expression" dxfId="1646" priority="646">
      <formula>$C256="110"</formula>
    </cfRule>
  </conditionalFormatting>
  <conditionalFormatting sqref="S267">
    <cfRule type="expression" dxfId="1645" priority="643">
      <formula>$C267="110"</formula>
    </cfRule>
  </conditionalFormatting>
  <conditionalFormatting sqref="S275">
    <cfRule type="expression" dxfId="1644" priority="641">
      <formula>$C275="110"</formula>
    </cfRule>
  </conditionalFormatting>
  <conditionalFormatting sqref="S284">
    <cfRule type="expression" dxfId="1643" priority="640">
      <formula>$C284="110"</formula>
    </cfRule>
  </conditionalFormatting>
  <conditionalFormatting sqref="S303">
    <cfRule type="expression" dxfId="1642" priority="638">
      <formula>$C303="110"</formula>
    </cfRule>
  </conditionalFormatting>
  <conditionalFormatting sqref="S315">
    <cfRule type="expression" dxfId="1641" priority="637">
      <formula>$C315="110"</formula>
    </cfRule>
  </conditionalFormatting>
  <conditionalFormatting sqref="S334">
    <cfRule type="expression" dxfId="1640" priority="636">
      <formula>$C334="110"</formula>
    </cfRule>
  </conditionalFormatting>
  <conditionalFormatting sqref="S366">
    <cfRule type="expression" dxfId="1639" priority="635">
      <formula>$C366="110"</formula>
    </cfRule>
  </conditionalFormatting>
  <conditionalFormatting sqref="S370">
    <cfRule type="expression" dxfId="1638" priority="634">
      <formula>$C370="110"</formula>
    </cfRule>
  </conditionalFormatting>
  <conditionalFormatting sqref="S378">
    <cfRule type="expression" dxfId="1637" priority="633">
      <formula>$C378="110"</formula>
    </cfRule>
  </conditionalFormatting>
  <conditionalFormatting sqref="S70:S71">
    <cfRule type="expression" dxfId="1636" priority="626">
      <formula>$C70="110"</formula>
    </cfRule>
  </conditionalFormatting>
  <conditionalFormatting sqref="S46:S48">
    <cfRule type="expression" dxfId="1635" priority="632">
      <formula>$C46="110"</formula>
    </cfRule>
  </conditionalFormatting>
  <conditionalFormatting sqref="S57:S58">
    <cfRule type="expression" dxfId="1634" priority="630">
      <formula>$C57="110"</formula>
    </cfRule>
  </conditionalFormatting>
  <conditionalFormatting sqref="S67">
    <cfRule type="expression" dxfId="1633" priority="628">
      <formula>$C67="110"</formula>
    </cfRule>
  </conditionalFormatting>
  <conditionalFormatting sqref="T70:T71">
    <cfRule type="expression" dxfId="1632" priority="627">
      <formula>$C70="110"</formula>
    </cfRule>
  </conditionalFormatting>
  <conditionalFormatting sqref="S367:S369">
    <cfRule type="expression" dxfId="1631" priority="587">
      <formula>$C367="110"</formula>
    </cfRule>
  </conditionalFormatting>
  <conditionalFormatting sqref="S82:S84">
    <cfRule type="expression" dxfId="1630" priority="625">
      <formula>$C82="110"</formula>
    </cfRule>
  </conditionalFormatting>
  <conditionalFormatting sqref="S86:S89">
    <cfRule type="expression" dxfId="1629" priority="624">
      <formula>$C86="110"</formula>
    </cfRule>
  </conditionalFormatting>
  <conditionalFormatting sqref="S92:S93">
    <cfRule type="expression" dxfId="1628" priority="623">
      <formula>$C92="110"</formula>
    </cfRule>
  </conditionalFormatting>
  <conditionalFormatting sqref="S96:S97">
    <cfRule type="expression" dxfId="1627" priority="622">
      <formula>$C96="110"</formula>
    </cfRule>
  </conditionalFormatting>
  <conditionalFormatting sqref="S99:S102">
    <cfRule type="expression" dxfId="1626" priority="621">
      <formula>$C99="110"</formula>
    </cfRule>
  </conditionalFormatting>
  <conditionalFormatting sqref="S104:S107">
    <cfRule type="expression" dxfId="1625" priority="620">
      <formula>$C104="110"</formula>
    </cfRule>
  </conditionalFormatting>
  <conditionalFormatting sqref="S109:S117">
    <cfRule type="expression" dxfId="1624" priority="619">
      <formula>$C109="110"</formula>
    </cfRule>
  </conditionalFormatting>
  <conditionalFormatting sqref="S120:S124">
    <cfRule type="expression" dxfId="1623" priority="618">
      <formula>$C120="110"</formula>
    </cfRule>
  </conditionalFormatting>
  <conditionalFormatting sqref="S129:S134">
    <cfRule type="expression" dxfId="1622" priority="616">
      <formula>$C129="110"</formula>
    </cfRule>
  </conditionalFormatting>
  <conditionalFormatting sqref="S136">
    <cfRule type="expression" dxfId="1621" priority="615">
      <formula>$C136="110"</formula>
    </cfRule>
  </conditionalFormatting>
  <conditionalFormatting sqref="S138:S147">
    <cfRule type="expression" dxfId="1620" priority="614">
      <formula>$C138="110"</formula>
    </cfRule>
  </conditionalFormatting>
  <conditionalFormatting sqref="S152:S153 T154 S155:S163">
    <cfRule type="expression" dxfId="1619" priority="613">
      <formula>$C152="110"</formula>
    </cfRule>
  </conditionalFormatting>
  <conditionalFormatting sqref="S165:S167">
    <cfRule type="expression" dxfId="1618" priority="612">
      <formula>$C165="110"</formula>
    </cfRule>
  </conditionalFormatting>
  <conditionalFormatting sqref="S174:S176">
    <cfRule type="expression" dxfId="1617" priority="611">
      <formula>$C174="110"</formula>
    </cfRule>
  </conditionalFormatting>
  <conditionalFormatting sqref="S178:S180">
    <cfRule type="expression" dxfId="1616" priority="610">
      <formula>$C178="110"</formula>
    </cfRule>
  </conditionalFormatting>
  <conditionalFormatting sqref="S185:S215">
    <cfRule type="expression" dxfId="1615" priority="609">
      <formula>$C185="110"</formula>
    </cfRule>
  </conditionalFormatting>
  <conditionalFormatting sqref="S217:S219">
    <cfRule type="expression" dxfId="1614" priority="608">
      <formula>$C217="110"</formula>
    </cfRule>
  </conditionalFormatting>
  <conditionalFormatting sqref="S223:S225">
    <cfRule type="expression" dxfId="1613" priority="607">
      <formula>$C223="110"</formula>
    </cfRule>
  </conditionalFormatting>
  <conditionalFormatting sqref="S228:S231">
    <cfRule type="expression" dxfId="1612" priority="606">
      <formula>$C228="110"</formula>
    </cfRule>
  </conditionalFormatting>
  <conditionalFormatting sqref="S234:S245">
    <cfRule type="expression" dxfId="1611" priority="605">
      <formula>$C234="110"</formula>
    </cfRule>
  </conditionalFormatting>
  <conditionalFormatting sqref="S249">
    <cfRule type="expression" dxfId="1610" priority="604">
      <formula>$C249="110"</formula>
    </cfRule>
  </conditionalFormatting>
  <conditionalFormatting sqref="S251:S255">
    <cfRule type="expression" dxfId="1609" priority="603">
      <formula>$C251="110"</formula>
    </cfRule>
  </conditionalFormatting>
  <conditionalFormatting sqref="S257:S261">
    <cfRule type="expression" dxfId="1608" priority="602">
      <formula>$C257="110"</formula>
    </cfRule>
  </conditionalFormatting>
  <conditionalFormatting sqref="S264">
    <cfRule type="expression" dxfId="1607" priority="601">
      <formula>$C264="110"</formula>
    </cfRule>
  </conditionalFormatting>
  <conditionalFormatting sqref="S268:S270">
    <cfRule type="expression" dxfId="1606" priority="600">
      <formula>$C268="110"</formula>
    </cfRule>
  </conditionalFormatting>
  <conditionalFormatting sqref="S272:S273">
    <cfRule type="expression" dxfId="1605" priority="599">
      <formula>$C272="110"</formula>
    </cfRule>
  </conditionalFormatting>
  <conditionalFormatting sqref="S276:S283">
    <cfRule type="expression" dxfId="1604" priority="598">
      <formula>$C276="110"</formula>
    </cfRule>
  </conditionalFormatting>
  <conditionalFormatting sqref="S285:S288">
    <cfRule type="expression" dxfId="1603" priority="597">
      <formula>$C285="110"</formula>
    </cfRule>
  </conditionalFormatting>
  <conditionalFormatting sqref="S291">
    <cfRule type="expression" dxfId="1602" priority="596">
      <formula>$C291="110"</formula>
    </cfRule>
  </conditionalFormatting>
  <conditionalFormatting sqref="S293:S296 S298:S300">
    <cfRule type="expression" dxfId="1601" priority="595">
      <formula>$C293="110"</formula>
    </cfRule>
  </conditionalFormatting>
  <conditionalFormatting sqref="S304:S313">
    <cfRule type="expression" dxfId="1600" priority="594">
      <formula>$C304="110"</formula>
    </cfRule>
  </conditionalFormatting>
  <conditionalFormatting sqref="S316:S326">
    <cfRule type="expression" dxfId="1599" priority="593">
      <formula>$C316="110"</formula>
    </cfRule>
  </conditionalFormatting>
  <conditionalFormatting sqref="S328:S332">
    <cfRule type="expression" dxfId="1598" priority="592">
      <formula>$C328="110"</formula>
    </cfRule>
  </conditionalFormatting>
  <conditionalFormatting sqref="S335:S338">
    <cfRule type="expression" dxfId="1597" priority="591">
      <formula>$C335="110"</formula>
    </cfRule>
  </conditionalFormatting>
  <conditionalFormatting sqref="S340:S346">
    <cfRule type="expression" dxfId="1596" priority="590">
      <formula>$C340="110"</formula>
    </cfRule>
  </conditionalFormatting>
  <conditionalFormatting sqref="S348:S355">
    <cfRule type="expression" dxfId="1595" priority="589">
      <formula>$C348="110"</formula>
    </cfRule>
  </conditionalFormatting>
  <conditionalFormatting sqref="S358:S363">
    <cfRule type="expression" dxfId="1594" priority="588">
      <formula>$C358="110"</formula>
    </cfRule>
  </conditionalFormatting>
  <conditionalFormatting sqref="S371:S377">
    <cfRule type="expression" dxfId="1593" priority="586">
      <formula>$C371="110"</formula>
    </cfRule>
  </conditionalFormatting>
  <conditionalFormatting sqref="S379:S394">
    <cfRule type="expression" dxfId="1592" priority="585">
      <formula>$C379="110"</formula>
    </cfRule>
  </conditionalFormatting>
  <conditionalFormatting sqref="S266">
    <cfRule type="expression" dxfId="1591" priority="584">
      <formula>$C266="110"</formula>
    </cfRule>
  </conditionalFormatting>
  <conditionalFormatting sqref="V119">
    <cfRule type="expression" dxfId="1590" priority="578">
      <formula>$E119="110"</formula>
    </cfRule>
  </conditionalFormatting>
  <conditionalFormatting sqref="V184">
    <cfRule type="expression" dxfId="1589" priority="573">
      <formula>$E184="110"</formula>
    </cfRule>
  </conditionalFormatting>
  <conditionalFormatting sqref="V366">
    <cfRule type="expression" dxfId="1588" priority="560">
      <formula>$E366="110"</formula>
    </cfRule>
  </conditionalFormatting>
  <conditionalFormatting sqref="V378">
    <cfRule type="expression" dxfId="1587" priority="558">
      <formula>$E378="110"</formula>
    </cfRule>
  </conditionalFormatting>
  <conditionalFormatting sqref="V220">
    <cfRule type="expression" dxfId="1586" priority="571">
      <formula>$C220="110"</formula>
    </cfRule>
  </conditionalFormatting>
  <conditionalFormatting sqref="V262">
    <cfRule type="expression" dxfId="1585" priority="566">
      <formula>$C262="110"</formula>
    </cfRule>
  </conditionalFormatting>
  <conditionalFormatting sqref="V64">
    <cfRule type="expression" dxfId="1584" priority="583">
      <formula>$C64="110"</formula>
    </cfRule>
  </conditionalFormatting>
  <conditionalFormatting sqref="V4">
    <cfRule type="expression" dxfId="1583" priority="582">
      <formula>$E4="110"</formula>
    </cfRule>
  </conditionalFormatting>
  <conditionalFormatting sqref="V80">
    <cfRule type="expression" dxfId="1582" priority="580">
      <formula>$E80="110"</formula>
    </cfRule>
  </conditionalFormatting>
  <conditionalFormatting sqref="V128">
    <cfRule type="expression" dxfId="1581" priority="577">
      <formula>$E128="110"</formula>
    </cfRule>
  </conditionalFormatting>
  <conditionalFormatting sqref="V68">
    <cfRule type="expression" dxfId="1580" priority="581">
      <formula>$E68="110"</formula>
    </cfRule>
  </conditionalFormatting>
  <conditionalFormatting sqref="V292">
    <cfRule type="expression" dxfId="1579" priority="563">
      <formula>$E292="110"</formula>
    </cfRule>
  </conditionalFormatting>
  <conditionalFormatting sqref="V85">
    <cfRule type="expression" dxfId="1578" priority="579">
      <formula>$E85="110"</formula>
    </cfRule>
  </conditionalFormatting>
  <conditionalFormatting sqref="V137">
    <cfRule type="expression" dxfId="1577" priority="576">
      <formula>$E137="110"</formula>
    </cfRule>
  </conditionalFormatting>
  <conditionalFormatting sqref="V151">
    <cfRule type="expression" dxfId="1576" priority="575">
      <formula>$E151="110"</formula>
    </cfRule>
  </conditionalFormatting>
  <conditionalFormatting sqref="V164">
    <cfRule type="expression" dxfId="1575" priority="574">
      <formula>$E164="110"</formula>
    </cfRule>
  </conditionalFormatting>
  <conditionalFormatting sqref="V216">
    <cfRule type="expression" dxfId="1574" priority="572">
      <formula>$C216="110"</formula>
    </cfRule>
  </conditionalFormatting>
  <conditionalFormatting sqref="V222">
    <cfRule type="expression" dxfId="1573" priority="570">
      <formula>$E222="110"</formula>
    </cfRule>
  </conditionalFormatting>
  <conditionalFormatting sqref="V227">
    <cfRule type="expression" dxfId="1572" priority="569">
      <formula>$C227="110"</formula>
    </cfRule>
  </conditionalFormatting>
  <conditionalFormatting sqref="V233">
    <cfRule type="expression" dxfId="1571" priority="568">
      <formula>$E233="110"</formula>
    </cfRule>
  </conditionalFormatting>
  <conditionalFormatting sqref="V250">
    <cfRule type="expression" dxfId="1570" priority="567">
      <formula>$E250="110"</formula>
    </cfRule>
  </conditionalFormatting>
  <conditionalFormatting sqref="V265">
    <cfRule type="expression" dxfId="1569" priority="565">
      <formula>$E265="110"</formula>
    </cfRule>
  </conditionalFormatting>
  <conditionalFormatting sqref="V275">
    <cfRule type="expression" dxfId="1568" priority="564">
      <formula>$E275="110"</formula>
    </cfRule>
  </conditionalFormatting>
  <conditionalFormatting sqref="V315">
    <cfRule type="expression" dxfId="1567" priority="562">
      <formula>$E315="110"</formula>
    </cfRule>
  </conditionalFormatting>
  <conditionalFormatting sqref="V334">
    <cfRule type="expression" dxfId="1566" priority="561">
      <formula>$E334="110"</formula>
    </cfRule>
  </conditionalFormatting>
  <conditionalFormatting sqref="V370">
    <cfRule type="expression" dxfId="1565" priority="559">
      <formula>$E370="110"</formula>
    </cfRule>
  </conditionalFormatting>
  <conditionalFormatting sqref="C395">
    <cfRule type="cellIs" dxfId="1564" priority="557" operator="equal">
      <formula>"110"</formula>
    </cfRule>
  </conditionalFormatting>
  <conditionalFormatting sqref="C395">
    <cfRule type="cellIs" dxfId="1563" priority="556" operator="equal">
      <formula>"310"</formula>
    </cfRule>
  </conditionalFormatting>
  <conditionalFormatting sqref="S154">
    <cfRule type="expression" dxfId="1562" priority="555">
      <formula>$C154="110"</formula>
    </cfRule>
  </conditionalFormatting>
  <conditionalFormatting sqref="S29">
    <cfRule type="expression" dxfId="1561" priority="554">
      <formula>$C29="110"</formula>
    </cfRule>
  </conditionalFormatting>
  <conditionalFormatting sqref="S297">
    <cfRule type="expression" dxfId="1560" priority="553">
      <formula>$C297="110"</formula>
    </cfRule>
  </conditionalFormatting>
  <conditionalFormatting sqref="T297">
    <cfRule type="expression" dxfId="1559" priority="552">
      <formula>$C297="110"</formula>
    </cfRule>
  </conditionalFormatting>
  <conditionalFormatting sqref="F21:O21">
    <cfRule type="expression" dxfId="1558" priority="551">
      <formula>$E21="110"</formula>
    </cfRule>
  </conditionalFormatting>
  <conditionalFormatting sqref="C21">
    <cfRule type="cellIs" dxfId="1557" priority="550" operator="equal">
      <formula>"110"</formula>
    </cfRule>
  </conditionalFormatting>
  <conditionalFormatting sqref="C21:D21">
    <cfRule type="expression" dxfId="1556" priority="549">
      <formula>$C21="110"</formula>
    </cfRule>
  </conditionalFormatting>
  <conditionalFormatting sqref="C21">
    <cfRule type="cellIs" dxfId="1555" priority="548" operator="equal">
      <formula>"310"</formula>
    </cfRule>
  </conditionalFormatting>
  <conditionalFormatting sqref="T21">
    <cfRule type="expression" dxfId="1554" priority="547">
      <formula>$C21="110"</formula>
    </cfRule>
  </conditionalFormatting>
  <conditionalFormatting sqref="E21">
    <cfRule type="expression" dxfId="1553" priority="546">
      <formula>$C21="110"</formula>
    </cfRule>
  </conditionalFormatting>
  <conditionalFormatting sqref="S21">
    <cfRule type="expression" dxfId="1552" priority="545">
      <formula>$C21="110"</formula>
    </cfRule>
  </conditionalFormatting>
  <conditionalFormatting sqref="V21">
    <cfRule type="expression" dxfId="1551" priority="544">
      <formula>$E21="110"</formula>
    </cfRule>
  </conditionalFormatting>
  <conditionalFormatting sqref="F5:O5">
    <cfRule type="expression" dxfId="1550" priority="543">
      <formula>$E5="110"</formula>
    </cfRule>
  </conditionalFormatting>
  <conditionalFormatting sqref="C5">
    <cfRule type="cellIs" dxfId="1549" priority="542" operator="equal">
      <formula>"110"</formula>
    </cfRule>
  </conditionalFormatting>
  <conditionalFormatting sqref="C5:D5">
    <cfRule type="expression" dxfId="1548" priority="541">
      <formula>$C5="110"</formula>
    </cfRule>
  </conditionalFormatting>
  <conditionalFormatting sqref="C5">
    <cfRule type="cellIs" dxfId="1547" priority="540" operator="equal">
      <formula>"310"</formula>
    </cfRule>
  </conditionalFormatting>
  <conditionalFormatting sqref="T5">
    <cfRule type="expression" dxfId="1546" priority="539">
      <formula>$C5="110"</formula>
    </cfRule>
  </conditionalFormatting>
  <conditionalFormatting sqref="E5">
    <cfRule type="expression" dxfId="1545" priority="538">
      <formula>$C5="110"</formula>
    </cfRule>
  </conditionalFormatting>
  <conditionalFormatting sqref="S5">
    <cfRule type="expression" dxfId="1544" priority="537">
      <formula>$C5="110"</formula>
    </cfRule>
  </conditionalFormatting>
  <conditionalFormatting sqref="V5">
    <cfRule type="expression" dxfId="1543" priority="536">
      <formula>$E5="110"</formula>
    </cfRule>
  </conditionalFormatting>
  <conditionalFormatting sqref="C396:E396 S396:T396">
    <cfRule type="expression" dxfId="1542" priority="534">
      <formula>$C396="110"</formula>
    </cfRule>
  </conditionalFormatting>
  <conditionalFormatting sqref="F396:O396 V396">
    <cfRule type="expression" dxfId="1541" priority="535">
      <formula>$E396="110"</formula>
    </cfRule>
  </conditionalFormatting>
  <conditionalFormatting sqref="C396">
    <cfRule type="cellIs" dxfId="1540" priority="533" operator="equal">
      <formula>"110"</formula>
    </cfRule>
  </conditionalFormatting>
  <conditionalFormatting sqref="C396">
    <cfRule type="cellIs" dxfId="1539" priority="532" operator="equal">
      <formula>"310"</formula>
    </cfRule>
  </conditionalFormatting>
  <conditionalFormatting sqref="C148">
    <cfRule type="cellIs" dxfId="1538" priority="531" operator="equal">
      <formula>"110"</formula>
    </cfRule>
  </conditionalFormatting>
  <conditionalFormatting sqref="C148">
    <cfRule type="cellIs" dxfId="1537" priority="530" operator="equal">
      <formula>"310"</formula>
    </cfRule>
  </conditionalFormatting>
  <conditionalFormatting sqref="C20">
    <cfRule type="cellIs" dxfId="1536" priority="521" operator="equal">
      <formula>"110"</formula>
    </cfRule>
  </conditionalFormatting>
  <conditionalFormatting sqref="F6:O6">
    <cfRule type="expression" dxfId="1535" priority="529">
      <formula>$E6="110"</formula>
    </cfRule>
  </conditionalFormatting>
  <conditionalFormatting sqref="C6">
    <cfRule type="cellIs" dxfId="1534" priority="528" operator="equal">
      <formula>"110"</formula>
    </cfRule>
  </conditionalFormatting>
  <conditionalFormatting sqref="C6:D6">
    <cfRule type="expression" dxfId="1533" priority="527">
      <formula>$C6="110"</formula>
    </cfRule>
  </conditionalFormatting>
  <conditionalFormatting sqref="C6">
    <cfRule type="cellIs" dxfId="1532" priority="526" operator="equal">
      <formula>"310"</formula>
    </cfRule>
  </conditionalFormatting>
  <conditionalFormatting sqref="T6">
    <cfRule type="expression" dxfId="1531" priority="525">
      <formula>$C6="110"</formula>
    </cfRule>
  </conditionalFormatting>
  <conditionalFormatting sqref="E6">
    <cfRule type="expression" dxfId="1530" priority="524">
      <formula>$C6="110"</formula>
    </cfRule>
  </conditionalFormatting>
  <conditionalFormatting sqref="S6">
    <cfRule type="expression" dxfId="1529" priority="523">
      <formula>$C6="110"</formula>
    </cfRule>
  </conditionalFormatting>
  <conditionalFormatting sqref="V6">
    <cfRule type="expression" dxfId="1528" priority="522">
      <formula>$E6="110"</formula>
    </cfRule>
  </conditionalFormatting>
  <conditionalFormatting sqref="C26">
    <cfRule type="cellIs" dxfId="1527" priority="520" operator="equal">
      <formula>"110"</formula>
    </cfRule>
  </conditionalFormatting>
  <conditionalFormatting sqref="C26:O26 T26 V26">
    <cfRule type="expression" dxfId="1526" priority="519">
      <formula>$C26="110"</formula>
    </cfRule>
  </conditionalFormatting>
  <conditionalFormatting sqref="C26">
    <cfRule type="cellIs" dxfId="1525" priority="518" operator="equal">
      <formula>"310"</formula>
    </cfRule>
  </conditionalFormatting>
  <conditionalFormatting sqref="S26">
    <cfRule type="expression" dxfId="1524" priority="517">
      <formula>$C26="110"</formula>
    </cfRule>
  </conditionalFormatting>
  <conditionalFormatting sqref="C103">
    <cfRule type="cellIs" dxfId="1523" priority="477" operator="equal">
      <formula>"110"</formula>
    </cfRule>
  </conditionalFormatting>
  <conditionalFormatting sqref="C45">
    <cfRule type="cellIs" dxfId="1522" priority="516" operator="equal">
      <formula>"110"</formula>
    </cfRule>
  </conditionalFormatting>
  <conditionalFormatting sqref="C17">
    <cfRule type="cellIs" dxfId="1521" priority="515" operator="equal">
      <formula>"110"</formula>
    </cfRule>
  </conditionalFormatting>
  <conditionalFormatting sqref="C17:O17 T17 V17">
    <cfRule type="expression" dxfId="1520" priority="514">
      <formula>$C17="110"</formula>
    </cfRule>
  </conditionalFormatting>
  <conditionalFormatting sqref="C17">
    <cfRule type="cellIs" dxfId="1519" priority="513" operator="equal">
      <formula>"310"</formula>
    </cfRule>
  </conditionalFormatting>
  <conditionalFormatting sqref="S17">
    <cfRule type="expression" dxfId="1518" priority="512">
      <formula>$C17="110"</formula>
    </cfRule>
  </conditionalFormatting>
  <conditionalFormatting sqref="C23">
    <cfRule type="cellIs" dxfId="1517" priority="511" operator="equal">
      <formula>"110"</formula>
    </cfRule>
  </conditionalFormatting>
  <conditionalFormatting sqref="C23:O23 T23 V23">
    <cfRule type="expression" dxfId="1516" priority="510">
      <formula>$C23="110"</formula>
    </cfRule>
  </conditionalFormatting>
  <conditionalFormatting sqref="C23">
    <cfRule type="cellIs" dxfId="1515" priority="509" operator="equal">
      <formula>"310"</formula>
    </cfRule>
  </conditionalFormatting>
  <conditionalFormatting sqref="S23">
    <cfRule type="expression" dxfId="1514" priority="508">
      <formula>$C23="110"</formula>
    </cfRule>
  </conditionalFormatting>
  <conditionalFormatting sqref="C44">
    <cfRule type="cellIs" dxfId="1513" priority="507" operator="equal">
      <formula>"110"</formula>
    </cfRule>
  </conditionalFormatting>
  <conditionalFormatting sqref="C44:O44 T44 V44">
    <cfRule type="expression" dxfId="1512" priority="506">
      <formula>$C44="110"</formula>
    </cfRule>
  </conditionalFormatting>
  <conditionalFormatting sqref="C44">
    <cfRule type="cellIs" dxfId="1511" priority="505" operator="equal">
      <formula>"310"</formula>
    </cfRule>
  </conditionalFormatting>
  <conditionalFormatting sqref="S44">
    <cfRule type="expression" dxfId="1510" priority="504">
      <formula>$C44="110"</formula>
    </cfRule>
  </conditionalFormatting>
  <conditionalFormatting sqref="C49">
    <cfRule type="cellIs" dxfId="1509" priority="503" operator="equal">
      <formula>"110"</formula>
    </cfRule>
  </conditionalFormatting>
  <conditionalFormatting sqref="C51">
    <cfRule type="cellIs" dxfId="1508" priority="502" operator="equal">
      <formula>"110"</formula>
    </cfRule>
  </conditionalFormatting>
  <conditionalFormatting sqref="C25">
    <cfRule type="cellIs" dxfId="1507" priority="501" operator="equal">
      <formula>"110"</formula>
    </cfRule>
  </conditionalFormatting>
  <conditionalFormatting sqref="C65">
    <cfRule type="cellIs" dxfId="1506" priority="500" operator="equal">
      <formula>"110"</formula>
    </cfRule>
  </conditionalFormatting>
  <conditionalFormatting sqref="C69">
    <cfRule type="cellIs" dxfId="1505" priority="499" operator="equal">
      <formula>"110"</formula>
    </cfRule>
  </conditionalFormatting>
  <conditionalFormatting sqref="C72">
    <cfRule type="cellIs" dxfId="1504" priority="498" operator="equal">
      <formula>"110"</formula>
    </cfRule>
  </conditionalFormatting>
  <conditionalFormatting sqref="C76">
    <cfRule type="cellIs" dxfId="1503" priority="497" operator="equal">
      <formula>"110"</formula>
    </cfRule>
  </conditionalFormatting>
  <conditionalFormatting sqref="C77">
    <cfRule type="cellIs" dxfId="1502" priority="496" operator="equal">
      <formula>"110"</formula>
    </cfRule>
  </conditionalFormatting>
  <conditionalFormatting sqref="C52">
    <cfRule type="cellIs" dxfId="1501" priority="495" operator="equal">
      <formula>"110"</formula>
    </cfRule>
  </conditionalFormatting>
  <conditionalFormatting sqref="C52:O52 T52 V52">
    <cfRule type="expression" dxfId="1500" priority="494">
      <formula>$C52="110"</formula>
    </cfRule>
  </conditionalFormatting>
  <conditionalFormatting sqref="C52">
    <cfRule type="cellIs" dxfId="1499" priority="493" operator="equal">
      <formula>"310"</formula>
    </cfRule>
  </conditionalFormatting>
  <conditionalFormatting sqref="S52">
    <cfRule type="expression" dxfId="1498" priority="492">
      <formula>$C52="110"</formula>
    </cfRule>
  </conditionalFormatting>
  <conditionalFormatting sqref="C56">
    <cfRule type="cellIs" dxfId="1497" priority="491" operator="equal">
      <formula>"110"</formula>
    </cfRule>
  </conditionalFormatting>
  <conditionalFormatting sqref="C56:O56 T56 V56">
    <cfRule type="expression" dxfId="1496" priority="490">
      <formula>$C56="110"</formula>
    </cfRule>
  </conditionalFormatting>
  <conditionalFormatting sqref="C56">
    <cfRule type="cellIs" dxfId="1495" priority="489" operator="equal">
      <formula>"310"</formula>
    </cfRule>
  </conditionalFormatting>
  <conditionalFormatting sqref="S56">
    <cfRule type="expression" dxfId="1494" priority="488">
      <formula>$C56="110"</formula>
    </cfRule>
  </conditionalFormatting>
  <conditionalFormatting sqref="C59:C60">
    <cfRule type="cellIs" dxfId="1493" priority="487" operator="equal">
      <formula>"110"</formula>
    </cfRule>
  </conditionalFormatting>
  <conditionalFormatting sqref="C59:O60 T59:T60 V59:V60">
    <cfRule type="expression" dxfId="1492" priority="486">
      <formula>$C59="110"</formula>
    </cfRule>
  </conditionalFormatting>
  <conditionalFormatting sqref="C59:C60">
    <cfRule type="cellIs" dxfId="1491" priority="485" operator="equal">
      <formula>"310"</formula>
    </cfRule>
  </conditionalFormatting>
  <conditionalFormatting sqref="S59:S60">
    <cfRule type="expression" dxfId="1490" priority="484">
      <formula>$C59="110"</formula>
    </cfRule>
  </conditionalFormatting>
  <conditionalFormatting sqref="C63">
    <cfRule type="cellIs" dxfId="1489" priority="483" operator="equal">
      <formula>"110"</formula>
    </cfRule>
  </conditionalFormatting>
  <conditionalFormatting sqref="C63:O63 T63 V63">
    <cfRule type="expression" dxfId="1488" priority="482">
      <formula>$C63="110"</formula>
    </cfRule>
  </conditionalFormatting>
  <conditionalFormatting sqref="C63">
    <cfRule type="cellIs" dxfId="1487" priority="481" operator="equal">
      <formula>"310"</formula>
    </cfRule>
  </conditionalFormatting>
  <conditionalFormatting sqref="S63">
    <cfRule type="expression" dxfId="1486" priority="480">
      <formula>$C63="110"</formula>
    </cfRule>
  </conditionalFormatting>
  <conditionalFormatting sqref="C90">
    <cfRule type="cellIs" dxfId="1485" priority="479" operator="equal">
      <formula>"110"</formula>
    </cfRule>
  </conditionalFormatting>
  <conditionalFormatting sqref="C94">
    <cfRule type="cellIs" dxfId="1484" priority="478" operator="equal">
      <formula>"110"</formula>
    </cfRule>
  </conditionalFormatting>
  <conditionalFormatting sqref="C118">
    <cfRule type="cellIs" dxfId="1483" priority="476" operator="equal">
      <formula>"110"</formula>
    </cfRule>
  </conditionalFormatting>
  <conditionalFormatting sqref="C125">
    <cfRule type="cellIs" dxfId="1482" priority="475" operator="equal">
      <formula>"110"</formula>
    </cfRule>
  </conditionalFormatting>
  <conditionalFormatting sqref="C126">
    <cfRule type="cellIs" dxfId="1481" priority="474" operator="equal">
      <formula>"110"</formula>
    </cfRule>
  </conditionalFormatting>
  <conditionalFormatting sqref="C135">
    <cfRule type="cellIs" dxfId="1480" priority="473" operator="equal">
      <formula>"110"</formula>
    </cfRule>
  </conditionalFormatting>
  <conditionalFormatting sqref="C150">
    <cfRule type="cellIs" dxfId="1479" priority="472" operator="equal">
      <formula>"110"</formula>
    </cfRule>
  </conditionalFormatting>
  <conditionalFormatting sqref="V95">
    <cfRule type="expression" dxfId="1478" priority="471">
      <formula>$E95="110"</formula>
    </cfRule>
  </conditionalFormatting>
  <conditionalFormatting sqref="C172">
    <cfRule type="cellIs" dxfId="1477" priority="470" operator="equal">
      <formula>"110"</formula>
    </cfRule>
  </conditionalFormatting>
  <conditionalFormatting sqref="C177">
    <cfRule type="cellIs" dxfId="1476" priority="469" operator="equal">
      <formula>"110"</formula>
    </cfRule>
  </conditionalFormatting>
  <conditionalFormatting sqref="C181">
    <cfRule type="cellIs" dxfId="1475" priority="468" operator="equal">
      <formula>"110"</formula>
    </cfRule>
  </conditionalFormatting>
  <conditionalFormatting sqref="C183">
    <cfRule type="cellIs" dxfId="1474" priority="467" operator="equal">
      <formula>"110"</formula>
    </cfRule>
  </conditionalFormatting>
  <conditionalFormatting sqref="C221">
    <cfRule type="cellIs" dxfId="1473" priority="466" operator="equal">
      <formula>"110"</formula>
    </cfRule>
  </conditionalFormatting>
  <conditionalFormatting sqref="C226">
    <cfRule type="cellIs" dxfId="1472" priority="465" operator="equal">
      <formula>"110"</formula>
    </cfRule>
  </conditionalFormatting>
  <conditionalFormatting sqref="C232">
    <cfRule type="cellIs" dxfId="1471" priority="464" operator="equal">
      <formula>"110"</formula>
    </cfRule>
  </conditionalFormatting>
  <conditionalFormatting sqref="C247">
    <cfRule type="cellIs" dxfId="1470" priority="463" operator="equal">
      <formula>"110"</formula>
    </cfRule>
  </conditionalFormatting>
  <conditionalFormatting sqref="C248">
    <cfRule type="cellIs" dxfId="1469" priority="462" operator="equal">
      <formula>"110"</formula>
    </cfRule>
  </conditionalFormatting>
  <conditionalFormatting sqref="C274">
    <cfRule type="cellIs" dxfId="1468" priority="461" operator="equal">
      <formula>"110"</formula>
    </cfRule>
  </conditionalFormatting>
  <conditionalFormatting sqref="C289">
    <cfRule type="cellIs" dxfId="1467" priority="460" operator="equal">
      <formula>"110"</formula>
    </cfRule>
  </conditionalFormatting>
  <conditionalFormatting sqref="C290">
    <cfRule type="cellIs" dxfId="1466" priority="459" operator="equal">
      <formula>"110"</formula>
    </cfRule>
  </conditionalFormatting>
  <conditionalFormatting sqref="C301">
    <cfRule type="cellIs" dxfId="1465" priority="458" operator="equal">
      <formula>"110"</formula>
    </cfRule>
  </conditionalFormatting>
  <conditionalFormatting sqref="C314">
    <cfRule type="cellIs" dxfId="1464" priority="457" operator="equal">
      <formula>"110"</formula>
    </cfRule>
  </conditionalFormatting>
  <conditionalFormatting sqref="C327">
    <cfRule type="cellIs" dxfId="1463" priority="456" operator="equal">
      <formula>"110"</formula>
    </cfRule>
  </conditionalFormatting>
  <conditionalFormatting sqref="C333">
    <cfRule type="cellIs" dxfId="1462" priority="455" operator="equal">
      <formula>"110"</formula>
    </cfRule>
  </conditionalFormatting>
  <conditionalFormatting sqref="C339">
    <cfRule type="cellIs" dxfId="1461" priority="454" operator="equal">
      <formula>"110"</formula>
    </cfRule>
  </conditionalFormatting>
  <conditionalFormatting sqref="C347">
    <cfRule type="cellIs" dxfId="1460" priority="453" operator="equal">
      <formula>"110"</formula>
    </cfRule>
  </conditionalFormatting>
  <conditionalFormatting sqref="C356">
    <cfRule type="cellIs" dxfId="1459" priority="452" operator="equal">
      <formula>"110"</formula>
    </cfRule>
  </conditionalFormatting>
  <conditionalFormatting sqref="C357">
    <cfRule type="cellIs" dxfId="1458" priority="451" operator="equal">
      <formula>"110"</formula>
    </cfRule>
  </conditionalFormatting>
  <conditionalFormatting sqref="C364">
    <cfRule type="cellIs" dxfId="1457" priority="450" operator="equal">
      <formula>"110"</formula>
    </cfRule>
  </conditionalFormatting>
  <conditionalFormatting sqref="C397">
    <cfRule type="cellIs" dxfId="1456" priority="449" operator="equal">
      <formula>"110"</formula>
    </cfRule>
  </conditionalFormatting>
  <conditionalFormatting sqref="D149">
    <cfRule type="expression" dxfId="1455" priority="447">
      <formula>$C149="110"</formula>
    </cfRule>
  </conditionalFormatting>
  <conditionalFormatting sqref="F149:O149 V149">
    <cfRule type="expression" dxfId="1454" priority="448">
      <formula>$E149="110"</formula>
    </cfRule>
  </conditionalFormatting>
  <conditionalFormatting sqref="E149">
    <cfRule type="expression" dxfId="1453" priority="446">
      <formula>$C149="110"</formula>
    </cfRule>
  </conditionalFormatting>
  <conditionalFormatting sqref="T149">
    <cfRule type="expression" dxfId="1452" priority="445">
      <formula>$C149="110"</formula>
    </cfRule>
  </conditionalFormatting>
  <conditionalFormatting sqref="S149">
    <cfRule type="expression" dxfId="1451" priority="444">
      <formula>$C149="110"</formula>
    </cfRule>
  </conditionalFormatting>
  <conditionalFormatting sqref="C149">
    <cfRule type="cellIs" dxfId="1450" priority="443" operator="equal">
      <formula>"110"</formula>
    </cfRule>
  </conditionalFormatting>
  <conditionalFormatting sqref="C149">
    <cfRule type="expression" dxfId="1449" priority="442">
      <formula>$C149="110"</formula>
    </cfRule>
  </conditionalFormatting>
  <conditionalFormatting sqref="C149">
    <cfRule type="cellIs" dxfId="1448" priority="441" operator="equal">
      <formula>"310"</formula>
    </cfRule>
  </conditionalFormatting>
  <conditionalFormatting sqref="V174:V175">
    <cfRule type="expression" dxfId="1447" priority="440">
      <formula>$E174="110"</formula>
    </cfRule>
  </conditionalFormatting>
  <conditionalFormatting sqref="S169:S171">
    <cfRule type="expression" dxfId="1446" priority="439">
      <formula>$C169="110"</formula>
    </cfRule>
  </conditionalFormatting>
  <conditionalFormatting sqref="R398:R399">
    <cfRule type="cellIs" dxfId="1445" priority="438" operator="equal">
      <formula>"110"</formula>
    </cfRule>
  </conditionalFormatting>
  <conditionalFormatting sqref="R395 R148 R398:R399">
    <cfRule type="expression" dxfId="1444" priority="437">
      <formula>$C148="110"</formula>
    </cfRule>
  </conditionalFormatting>
  <conditionalFormatting sqref="R400:R1048576">
    <cfRule type="cellIs" dxfId="1443" priority="436" operator="equal">
      <formula>"110"</formula>
    </cfRule>
  </conditionalFormatting>
  <conditionalFormatting sqref="R3">
    <cfRule type="expression" dxfId="1442" priority="435">
      <formula>$C3="110"</formula>
    </cfRule>
  </conditionalFormatting>
  <conditionalFormatting sqref="R7:R16">
    <cfRule type="expression" dxfId="1441" priority="434">
      <formula>$C7="110"</formula>
    </cfRule>
  </conditionalFormatting>
  <conditionalFormatting sqref="R4">
    <cfRule type="expression" dxfId="1440" priority="433">
      <formula>$C4="110"</formula>
    </cfRule>
  </conditionalFormatting>
  <conditionalFormatting sqref="R18:R19">
    <cfRule type="expression" dxfId="1439" priority="432">
      <formula>$C18="110"</formula>
    </cfRule>
  </conditionalFormatting>
  <conditionalFormatting sqref="R50">
    <cfRule type="expression" dxfId="1438" priority="431">
      <formula>$C50="110"</formula>
    </cfRule>
  </conditionalFormatting>
  <conditionalFormatting sqref="R73:R75">
    <cfRule type="expression" dxfId="1437" priority="430">
      <formula>$C73="110"</formula>
    </cfRule>
  </conditionalFormatting>
  <conditionalFormatting sqref="R78:R79 R81">
    <cfRule type="expression" dxfId="1436" priority="429">
      <formula>$C78="110"</formula>
    </cfRule>
  </conditionalFormatting>
  <conditionalFormatting sqref="R91">
    <cfRule type="expression" dxfId="1435" priority="428">
      <formula>$C91="110"</formula>
    </cfRule>
  </conditionalFormatting>
  <conditionalFormatting sqref="R302">
    <cfRule type="expression" dxfId="1434" priority="427">
      <formula>$C302="110"</formula>
    </cfRule>
  </conditionalFormatting>
  <conditionalFormatting sqref="R365">
    <cfRule type="expression" dxfId="1433" priority="426">
      <formula>$C365="110"</formula>
    </cfRule>
  </conditionalFormatting>
  <conditionalFormatting sqref="R64">
    <cfRule type="expression" dxfId="1432" priority="422">
      <formula>$C64="110"</formula>
    </cfRule>
  </conditionalFormatting>
  <conditionalFormatting sqref="R24">
    <cfRule type="expression" dxfId="1431" priority="425">
      <formula>$C24="110"</formula>
    </cfRule>
  </conditionalFormatting>
  <conditionalFormatting sqref="R53:R55">
    <cfRule type="expression" dxfId="1430" priority="383">
      <formula>$C53="110"</formula>
    </cfRule>
  </conditionalFormatting>
  <conditionalFormatting sqref="R22">
    <cfRule type="expression" dxfId="1429" priority="424">
      <formula>$C22="110"</formula>
    </cfRule>
  </conditionalFormatting>
  <conditionalFormatting sqref="R262:R263">
    <cfRule type="expression" dxfId="1428" priority="397">
      <formula>$C262="110"</formula>
    </cfRule>
  </conditionalFormatting>
  <conditionalFormatting sqref="R27:R28 R30:R43">
    <cfRule type="expression" dxfId="1427" priority="423">
      <formula>$C27="110"</formula>
    </cfRule>
  </conditionalFormatting>
  <conditionalFormatting sqref="R68">
    <cfRule type="expression" dxfId="1426" priority="420">
      <formula>$C68="110"</formula>
    </cfRule>
  </conditionalFormatting>
  <conditionalFormatting sqref="R292">
    <cfRule type="expression" dxfId="1425" priority="391">
      <formula>$C292="110"</formula>
    </cfRule>
  </conditionalFormatting>
  <conditionalFormatting sqref="R271">
    <cfRule type="expression" dxfId="1424" priority="394">
      <formula>$C271="110"</formula>
    </cfRule>
  </conditionalFormatting>
  <conditionalFormatting sqref="R182">
    <cfRule type="expression" dxfId="1423" priority="407">
      <formula>$C182="110"</formula>
    </cfRule>
  </conditionalFormatting>
  <conditionalFormatting sqref="R265">
    <cfRule type="expression" dxfId="1422" priority="396">
      <formula>$C265="110"</formula>
    </cfRule>
  </conditionalFormatting>
  <conditionalFormatting sqref="R66">
    <cfRule type="expression" dxfId="1421" priority="421">
      <formula>$C66="110"</formula>
    </cfRule>
  </conditionalFormatting>
  <conditionalFormatting sqref="R61:R62">
    <cfRule type="expression" dxfId="1420" priority="381">
      <formula>$C61="110"</formula>
    </cfRule>
  </conditionalFormatting>
  <conditionalFormatting sqref="R80">
    <cfRule type="expression" dxfId="1419" priority="419">
      <formula>$C80="110"</formula>
    </cfRule>
  </conditionalFormatting>
  <conditionalFormatting sqref="R85">
    <cfRule type="expression" dxfId="1418" priority="418">
      <formula>$C85="110"</formula>
    </cfRule>
  </conditionalFormatting>
  <conditionalFormatting sqref="R95">
    <cfRule type="expression" dxfId="1417" priority="417">
      <formula>$C95="110"</formula>
    </cfRule>
  </conditionalFormatting>
  <conditionalFormatting sqref="R98">
    <cfRule type="expression" dxfId="1416" priority="416">
      <formula>$C98="110"</formula>
    </cfRule>
  </conditionalFormatting>
  <conditionalFormatting sqref="R108">
    <cfRule type="expression" dxfId="1415" priority="415">
      <formula>$C108="110"</formula>
    </cfRule>
  </conditionalFormatting>
  <conditionalFormatting sqref="R119">
    <cfRule type="expression" dxfId="1414" priority="414">
      <formula>$C119="110"</formula>
    </cfRule>
  </conditionalFormatting>
  <conditionalFormatting sqref="R128">
    <cfRule type="expression" dxfId="1413" priority="413">
      <formula>$C128="110"</formula>
    </cfRule>
  </conditionalFormatting>
  <conditionalFormatting sqref="R137">
    <cfRule type="expression" dxfId="1412" priority="412">
      <formula>$C137="110"</formula>
    </cfRule>
  </conditionalFormatting>
  <conditionalFormatting sqref="R151">
    <cfRule type="expression" dxfId="1411" priority="411">
      <formula>$C151="110"</formula>
    </cfRule>
  </conditionalFormatting>
  <conditionalFormatting sqref="R164">
    <cfRule type="expression" dxfId="1410" priority="410">
      <formula>$C164="110"</formula>
    </cfRule>
  </conditionalFormatting>
  <conditionalFormatting sqref="R168">
    <cfRule type="expression" dxfId="1409" priority="409">
      <formula>$C168="110"</formula>
    </cfRule>
  </conditionalFormatting>
  <conditionalFormatting sqref="R173">
    <cfRule type="expression" dxfId="1408" priority="408">
      <formula>$C173="110"</formula>
    </cfRule>
  </conditionalFormatting>
  <conditionalFormatting sqref="R127">
    <cfRule type="expression" dxfId="1407" priority="370">
      <formula>$C127="110"</formula>
    </cfRule>
  </conditionalFormatting>
  <conditionalFormatting sqref="R184">
    <cfRule type="expression" dxfId="1406" priority="406">
      <formula>$C184="110"</formula>
    </cfRule>
  </conditionalFormatting>
  <conditionalFormatting sqref="R216">
    <cfRule type="expression" dxfId="1405" priority="405">
      <formula>$C216="110"</formula>
    </cfRule>
  </conditionalFormatting>
  <conditionalFormatting sqref="R220">
    <cfRule type="expression" dxfId="1404" priority="404">
      <formula>$C220="110"</formula>
    </cfRule>
  </conditionalFormatting>
  <conditionalFormatting sqref="R222">
    <cfRule type="expression" dxfId="1403" priority="403">
      <formula>$C222="110"</formula>
    </cfRule>
  </conditionalFormatting>
  <conditionalFormatting sqref="R227">
    <cfRule type="expression" dxfId="1402" priority="402">
      <formula>$C227="110"</formula>
    </cfRule>
  </conditionalFormatting>
  <conditionalFormatting sqref="R233">
    <cfRule type="expression" dxfId="1401" priority="401">
      <formula>$C233="110"</formula>
    </cfRule>
  </conditionalFormatting>
  <conditionalFormatting sqref="R246">
    <cfRule type="expression" dxfId="1400" priority="400">
      <formula>$C246="110"</formula>
    </cfRule>
  </conditionalFormatting>
  <conditionalFormatting sqref="R250">
    <cfRule type="expression" dxfId="1399" priority="399">
      <formula>$C250="110"</formula>
    </cfRule>
  </conditionalFormatting>
  <conditionalFormatting sqref="R256">
    <cfRule type="expression" dxfId="1398" priority="398">
      <formula>$C256="110"</formula>
    </cfRule>
  </conditionalFormatting>
  <conditionalFormatting sqref="R267">
    <cfRule type="expression" dxfId="1397" priority="395">
      <formula>$C267="110"</formula>
    </cfRule>
  </conditionalFormatting>
  <conditionalFormatting sqref="R275">
    <cfRule type="expression" dxfId="1396" priority="393">
      <formula>$C275="110"</formula>
    </cfRule>
  </conditionalFormatting>
  <conditionalFormatting sqref="R284">
    <cfRule type="expression" dxfId="1395" priority="392">
      <formula>$C284="110"</formula>
    </cfRule>
  </conditionalFormatting>
  <conditionalFormatting sqref="R303">
    <cfRule type="expression" dxfId="1394" priority="390">
      <formula>$C303="110"</formula>
    </cfRule>
  </conditionalFormatting>
  <conditionalFormatting sqref="R315">
    <cfRule type="expression" dxfId="1393" priority="389">
      <formula>$C315="110"</formula>
    </cfRule>
  </conditionalFormatting>
  <conditionalFormatting sqref="R334">
    <cfRule type="expression" dxfId="1392" priority="388">
      <formula>$C334="110"</formula>
    </cfRule>
  </conditionalFormatting>
  <conditionalFormatting sqref="R366">
    <cfRule type="expression" dxfId="1391" priority="387">
      <formula>$C366="110"</formula>
    </cfRule>
  </conditionalFormatting>
  <conditionalFormatting sqref="R370">
    <cfRule type="expression" dxfId="1390" priority="386">
      <formula>$C370="110"</formula>
    </cfRule>
  </conditionalFormatting>
  <conditionalFormatting sqref="R378">
    <cfRule type="expression" dxfId="1389" priority="385">
      <formula>$C378="110"</formula>
    </cfRule>
  </conditionalFormatting>
  <conditionalFormatting sqref="R70:R71">
    <cfRule type="expression" dxfId="1388" priority="379">
      <formula>$C70="110"</formula>
    </cfRule>
  </conditionalFormatting>
  <conditionalFormatting sqref="R46:R48">
    <cfRule type="expression" dxfId="1387" priority="384">
      <formula>$C46="110"</formula>
    </cfRule>
  </conditionalFormatting>
  <conditionalFormatting sqref="R57:R58">
    <cfRule type="expression" dxfId="1386" priority="382">
      <formula>$C57="110"</formula>
    </cfRule>
  </conditionalFormatting>
  <conditionalFormatting sqref="R67">
    <cfRule type="expression" dxfId="1385" priority="380">
      <formula>$C67="110"</formula>
    </cfRule>
  </conditionalFormatting>
  <conditionalFormatting sqref="R367:R369">
    <cfRule type="expression" dxfId="1384" priority="340">
      <formula>$C367="110"</formula>
    </cfRule>
  </conditionalFormatting>
  <conditionalFormatting sqref="R82:R84">
    <cfRule type="expression" dxfId="1383" priority="378">
      <formula>$C82="110"</formula>
    </cfRule>
  </conditionalFormatting>
  <conditionalFormatting sqref="R86:R89">
    <cfRule type="expression" dxfId="1382" priority="377">
      <formula>$C86="110"</formula>
    </cfRule>
  </conditionalFormatting>
  <conditionalFormatting sqref="R92:R93">
    <cfRule type="expression" dxfId="1381" priority="376">
      <formula>$C92="110"</formula>
    </cfRule>
  </conditionalFormatting>
  <conditionalFormatting sqref="R96:R97">
    <cfRule type="expression" dxfId="1380" priority="375">
      <formula>$C96="110"</formula>
    </cfRule>
  </conditionalFormatting>
  <conditionalFormatting sqref="R99:R102">
    <cfRule type="expression" dxfId="1379" priority="374">
      <formula>$C99="110"</formula>
    </cfRule>
  </conditionalFormatting>
  <conditionalFormatting sqref="R104:R107">
    <cfRule type="expression" dxfId="1378" priority="373">
      <formula>$C104="110"</formula>
    </cfRule>
  </conditionalFormatting>
  <conditionalFormatting sqref="R109:R117">
    <cfRule type="expression" dxfId="1377" priority="372">
      <formula>$C109="110"</formula>
    </cfRule>
  </conditionalFormatting>
  <conditionalFormatting sqref="R120:R124">
    <cfRule type="expression" dxfId="1376" priority="371">
      <formula>$C120="110"</formula>
    </cfRule>
  </conditionalFormatting>
  <conditionalFormatting sqref="R129:R134">
    <cfRule type="expression" dxfId="1375" priority="369">
      <formula>$C129="110"</formula>
    </cfRule>
  </conditionalFormatting>
  <conditionalFormatting sqref="R136">
    <cfRule type="expression" dxfId="1374" priority="368">
      <formula>$C136="110"</formula>
    </cfRule>
  </conditionalFormatting>
  <conditionalFormatting sqref="R138:R147">
    <cfRule type="expression" dxfId="1373" priority="367">
      <formula>$C138="110"</formula>
    </cfRule>
  </conditionalFormatting>
  <conditionalFormatting sqref="R152:R153 R155:R163">
    <cfRule type="expression" dxfId="1372" priority="366">
      <formula>$C152="110"</formula>
    </cfRule>
  </conditionalFormatting>
  <conditionalFormatting sqref="R165:R167">
    <cfRule type="expression" dxfId="1371" priority="365">
      <formula>$C165="110"</formula>
    </cfRule>
  </conditionalFormatting>
  <conditionalFormatting sqref="R174:R176">
    <cfRule type="expression" dxfId="1370" priority="364">
      <formula>$C174="110"</formula>
    </cfRule>
  </conditionalFormatting>
  <conditionalFormatting sqref="R178:R180">
    <cfRule type="expression" dxfId="1369" priority="363">
      <formula>$C178="110"</formula>
    </cfRule>
  </conditionalFormatting>
  <conditionalFormatting sqref="R185:R215">
    <cfRule type="expression" dxfId="1368" priority="362">
      <formula>$C185="110"</formula>
    </cfRule>
  </conditionalFormatting>
  <conditionalFormatting sqref="R217:R219">
    <cfRule type="expression" dxfId="1367" priority="361">
      <formula>$C217="110"</formula>
    </cfRule>
  </conditionalFormatting>
  <conditionalFormatting sqref="R223:R225">
    <cfRule type="expression" dxfId="1366" priority="360">
      <formula>$C223="110"</formula>
    </cfRule>
  </conditionalFormatting>
  <conditionalFormatting sqref="R228:R231">
    <cfRule type="expression" dxfId="1365" priority="359">
      <formula>$C228="110"</formula>
    </cfRule>
  </conditionalFormatting>
  <conditionalFormatting sqref="R234:R245">
    <cfRule type="expression" dxfId="1364" priority="358">
      <formula>$C234="110"</formula>
    </cfRule>
  </conditionalFormatting>
  <conditionalFormatting sqref="R249">
    <cfRule type="expression" dxfId="1363" priority="357">
      <formula>$C249="110"</formula>
    </cfRule>
  </conditionalFormatting>
  <conditionalFormatting sqref="R251:R255">
    <cfRule type="expression" dxfId="1362" priority="356">
      <formula>$C251="110"</formula>
    </cfRule>
  </conditionalFormatting>
  <conditionalFormatting sqref="R257:R261">
    <cfRule type="expression" dxfId="1361" priority="355">
      <formula>$C257="110"</formula>
    </cfRule>
  </conditionalFormatting>
  <conditionalFormatting sqref="R264">
    <cfRule type="expression" dxfId="1360" priority="354">
      <formula>$C264="110"</formula>
    </cfRule>
  </conditionalFormatting>
  <conditionalFormatting sqref="R268:R270">
    <cfRule type="expression" dxfId="1359" priority="353">
      <formula>$C268="110"</formula>
    </cfRule>
  </conditionalFormatting>
  <conditionalFormatting sqref="R272:R273">
    <cfRule type="expression" dxfId="1358" priority="352">
      <formula>$C272="110"</formula>
    </cfRule>
  </conditionalFormatting>
  <conditionalFormatting sqref="R276:R283">
    <cfRule type="expression" dxfId="1357" priority="351">
      <formula>$C276="110"</formula>
    </cfRule>
  </conditionalFormatting>
  <conditionalFormatting sqref="R285:R288">
    <cfRule type="expression" dxfId="1356" priority="350">
      <formula>$C285="110"</formula>
    </cfRule>
  </conditionalFormatting>
  <conditionalFormatting sqref="R291">
    <cfRule type="expression" dxfId="1355" priority="349">
      <formula>$C291="110"</formula>
    </cfRule>
  </conditionalFormatting>
  <conditionalFormatting sqref="R293:R296 R298:R300">
    <cfRule type="expression" dxfId="1354" priority="348">
      <formula>$C293="110"</formula>
    </cfRule>
  </conditionalFormatting>
  <conditionalFormatting sqref="R304:R313">
    <cfRule type="expression" dxfId="1353" priority="347">
      <formula>$C304="110"</formula>
    </cfRule>
  </conditionalFormatting>
  <conditionalFormatting sqref="R316:R326">
    <cfRule type="expression" dxfId="1352" priority="346">
      <formula>$C316="110"</formula>
    </cfRule>
  </conditionalFormatting>
  <conditionalFormatting sqref="R328:R332">
    <cfRule type="expression" dxfId="1351" priority="345">
      <formula>$C328="110"</formula>
    </cfRule>
  </conditionalFormatting>
  <conditionalFormatting sqref="R335:R338">
    <cfRule type="expression" dxfId="1350" priority="344">
      <formula>$C335="110"</formula>
    </cfRule>
  </conditionalFormatting>
  <conditionalFormatting sqref="R340:R346">
    <cfRule type="expression" dxfId="1349" priority="343">
      <formula>$C340="110"</formula>
    </cfRule>
  </conditionalFormatting>
  <conditionalFormatting sqref="R348:R355">
    <cfRule type="expression" dxfId="1348" priority="342">
      <formula>$C348="110"</formula>
    </cfRule>
  </conditionalFormatting>
  <conditionalFormatting sqref="R358:R363">
    <cfRule type="expression" dxfId="1347" priority="341">
      <formula>$C358="110"</formula>
    </cfRule>
  </conditionalFormatting>
  <conditionalFormatting sqref="R371:R377">
    <cfRule type="expression" dxfId="1346" priority="339">
      <formula>$C371="110"</formula>
    </cfRule>
  </conditionalFormatting>
  <conditionalFormatting sqref="R379:R394">
    <cfRule type="expression" dxfId="1345" priority="338">
      <formula>$C379="110"</formula>
    </cfRule>
  </conditionalFormatting>
  <conditionalFormatting sqref="R266">
    <cfRule type="expression" dxfId="1344" priority="337">
      <formula>$C266="110"</formula>
    </cfRule>
  </conditionalFormatting>
  <conditionalFormatting sqref="R154">
    <cfRule type="expression" dxfId="1343" priority="336">
      <formula>$C154="110"</formula>
    </cfRule>
  </conditionalFormatting>
  <conditionalFormatting sqref="R29">
    <cfRule type="expression" dxfId="1342" priority="335">
      <formula>$C29="110"</formula>
    </cfRule>
  </conditionalFormatting>
  <conditionalFormatting sqref="R297">
    <cfRule type="expression" dxfId="1341" priority="334">
      <formula>$C297="110"</formula>
    </cfRule>
  </conditionalFormatting>
  <conditionalFormatting sqref="R21">
    <cfRule type="expression" dxfId="1340" priority="333">
      <formula>$C21="110"</formula>
    </cfRule>
  </conditionalFormatting>
  <conditionalFormatting sqref="R5">
    <cfRule type="expression" dxfId="1339" priority="332">
      <formula>$C5="110"</formula>
    </cfRule>
  </conditionalFormatting>
  <conditionalFormatting sqref="R396">
    <cfRule type="expression" dxfId="1338" priority="331">
      <formula>$C396="110"</formula>
    </cfRule>
  </conditionalFormatting>
  <conditionalFormatting sqref="R6">
    <cfRule type="expression" dxfId="1337" priority="330">
      <formula>$C6="110"</formula>
    </cfRule>
  </conditionalFormatting>
  <conditionalFormatting sqref="R26">
    <cfRule type="expression" dxfId="1336" priority="329">
      <formula>$C26="110"</formula>
    </cfRule>
  </conditionalFormatting>
  <conditionalFormatting sqref="R17">
    <cfRule type="expression" dxfId="1335" priority="328">
      <formula>$C17="110"</formula>
    </cfRule>
  </conditionalFormatting>
  <conditionalFormatting sqref="R23">
    <cfRule type="expression" dxfId="1334" priority="327">
      <formula>$C23="110"</formula>
    </cfRule>
  </conditionalFormatting>
  <conditionalFormatting sqref="R44">
    <cfRule type="expression" dxfId="1333" priority="326">
      <formula>$C44="110"</formula>
    </cfRule>
  </conditionalFormatting>
  <conditionalFormatting sqref="R52">
    <cfRule type="expression" dxfId="1332" priority="325">
      <formula>$C52="110"</formula>
    </cfRule>
  </conditionalFormatting>
  <conditionalFormatting sqref="R56">
    <cfRule type="expression" dxfId="1331" priority="324">
      <formula>$C56="110"</formula>
    </cfRule>
  </conditionalFormatting>
  <conditionalFormatting sqref="R59:R60">
    <cfRule type="expression" dxfId="1330" priority="323">
      <formula>$C59="110"</formula>
    </cfRule>
  </conditionalFormatting>
  <conditionalFormatting sqref="R63">
    <cfRule type="expression" dxfId="1329" priority="322">
      <formula>$C63="110"</formula>
    </cfRule>
  </conditionalFormatting>
  <conditionalFormatting sqref="R149">
    <cfRule type="expression" dxfId="1328" priority="321">
      <formula>$C149="110"</formula>
    </cfRule>
  </conditionalFormatting>
  <conditionalFormatting sqref="R169:R171">
    <cfRule type="expression" dxfId="1327" priority="320">
      <formula>$C169="110"</formula>
    </cfRule>
  </conditionalFormatting>
  <conditionalFormatting sqref="P398:P399 Q399:T399">
    <cfRule type="cellIs" dxfId="1326" priority="319" operator="equal">
      <formula>"110"</formula>
    </cfRule>
  </conditionalFormatting>
  <conditionalFormatting sqref="P395 P148 P398:P399 Q399:T399">
    <cfRule type="expression" dxfId="1325" priority="318">
      <formula>$C148="110"</formula>
    </cfRule>
  </conditionalFormatting>
  <conditionalFormatting sqref="P400:P1048576">
    <cfRule type="cellIs" dxfId="1324" priority="317" operator="equal">
      <formula>"110"</formula>
    </cfRule>
  </conditionalFormatting>
  <conditionalFormatting sqref="P3">
    <cfRule type="expression" dxfId="1323" priority="316">
      <formula>$C3="110"</formula>
    </cfRule>
  </conditionalFormatting>
  <conditionalFormatting sqref="P7:P16">
    <cfRule type="expression" dxfId="1322" priority="315">
      <formula>$C7="110"</formula>
    </cfRule>
  </conditionalFormatting>
  <conditionalFormatting sqref="P4">
    <cfRule type="expression" dxfId="1321" priority="314">
      <formula>$C4="110"</formula>
    </cfRule>
  </conditionalFormatting>
  <conditionalFormatting sqref="P18:P19">
    <cfRule type="expression" dxfId="1320" priority="313">
      <formula>$C18="110"</formula>
    </cfRule>
  </conditionalFormatting>
  <conditionalFormatting sqref="P50">
    <cfRule type="expression" dxfId="1319" priority="312">
      <formula>$C50="110"</formula>
    </cfRule>
  </conditionalFormatting>
  <conditionalFormatting sqref="P73:P75">
    <cfRule type="expression" dxfId="1318" priority="311">
      <formula>$C73="110"</formula>
    </cfRule>
  </conditionalFormatting>
  <conditionalFormatting sqref="P78:P79 P81">
    <cfRule type="expression" dxfId="1317" priority="310">
      <formula>$C78="110"</formula>
    </cfRule>
  </conditionalFormatting>
  <conditionalFormatting sqref="P91">
    <cfRule type="expression" dxfId="1316" priority="309">
      <formula>$C91="110"</formula>
    </cfRule>
  </conditionalFormatting>
  <conditionalFormatting sqref="P302">
    <cfRule type="expression" dxfId="1315" priority="308">
      <formula>$C302="110"</formula>
    </cfRule>
  </conditionalFormatting>
  <conditionalFormatting sqref="P365">
    <cfRule type="expression" dxfId="1314" priority="307">
      <formula>$C365="110"</formula>
    </cfRule>
  </conditionalFormatting>
  <conditionalFormatting sqref="P64">
    <cfRule type="expression" dxfId="1313" priority="303">
      <formula>$C64="110"</formula>
    </cfRule>
  </conditionalFormatting>
  <conditionalFormatting sqref="P24">
    <cfRule type="expression" dxfId="1312" priority="306">
      <formula>$C24="110"</formula>
    </cfRule>
  </conditionalFormatting>
  <conditionalFormatting sqref="P53:P55">
    <cfRule type="expression" dxfId="1311" priority="264">
      <formula>$C53="110"</formula>
    </cfRule>
  </conditionalFormatting>
  <conditionalFormatting sqref="P22">
    <cfRule type="expression" dxfId="1310" priority="305">
      <formula>$C22="110"</formula>
    </cfRule>
  </conditionalFormatting>
  <conditionalFormatting sqref="P262:P263">
    <cfRule type="expression" dxfId="1309" priority="278">
      <formula>$C262="110"</formula>
    </cfRule>
  </conditionalFormatting>
  <conditionalFormatting sqref="P27:P28 P30:P43">
    <cfRule type="expression" dxfId="1308" priority="304">
      <formula>$C27="110"</formula>
    </cfRule>
  </conditionalFormatting>
  <conditionalFormatting sqref="P68">
    <cfRule type="expression" dxfId="1307" priority="301">
      <formula>$C68="110"</formula>
    </cfRule>
  </conditionalFormatting>
  <conditionalFormatting sqref="P292">
    <cfRule type="expression" dxfId="1306" priority="272">
      <formula>$C292="110"</formula>
    </cfRule>
  </conditionalFormatting>
  <conditionalFormatting sqref="P271">
    <cfRule type="expression" dxfId="1305" priority="275">
      <formula>$C271="110"</formula>
    </cfRule>
  </conditionalFormatting>
  <conditionalFormatting sqref="P182">
    <cfRule type="expression" dxfId="1304" priority="288">
      <formula>$C182="110"</formula>
    </cfRule>
  </conditionalFormatting>
  <conditionalFormatting sqref="P265">
    <cfRule type="expression" dxfId="1303" priority="277">
      <formula>$C265="110"</formula>
    </cfRule>
  </conditionalFormatting>
  <conditionalFormatting sqref="P66">
    <cfRule type="expression" dxfId="1302" priority="302">
      <formula>$C66="110"</formula>
    </cfRule>
  </conditionalFormatting>
  <conditionalFormatting sqref="P61:P62">
    <cfRule type="expression" dxfId="1301" priority="262">
      <formula>$C61="110"</formula>
    </cfRule>
  </conditionalFormatting>
  <conditionalFormatting sqref="P80">
    <cfRule type="expression" dxfId="1300" priority="300">
      <formula>$C80="110"</formula>
    </cfRule>
  </conditionalFormatting>
  <conditionalFormatting sqref="P85">
    <cfRule type="expression" dxfId="1299" priority="299">
      <formula>$C85="110"</formula>
    </cfRule>
  </conditionalFormatting>
  <conditionalFormatting sqref="P95">
    <cfRule type="expression" dxfId="1298" priority="298">
      <formula>$C95="110"</formula>
    </cfRule>
  </conditionalFormatting>
  <conditionalFormatting sqref="P98">
    <cfRule type="expression" dxfId="1297" priority="297">
      <formula>$C98="110"</formula>
    </cfRule>
  </conditionalFormatting>
  <conditionalFormatting sqref="P108">
    <cfRule type="expression" dxfId="1296" priority="296">
      <formula>$C108="110"</formula>
    </cfRule>
  </conditionalFormatting>
  <conditionalFormatting sqref="P119">
    <cfRule type="expression" dxfId="1295" priority="295">
      <formula>$C119="110"</formula>
    </cfRule>
  </conditionalFormatting>
  <conditionalFormatting sqref="P128">
    <cfRule type="expression" dxfId="1294" priority="294">
      <formula>$C128="110"</formula>
    </cfRule>
  </conditionalFormatting>
  <conditionalFormatting sqref="P137">
    <cfRule type="expression" dxfId="1293" priority="293">
      <formula>$C137="110"</formula>
    </cfRule>
  </conditionalFormatting>
  <conditionalFormatting sqref="P151">
    <cfRule type="expression" dxfId="1292" priority="292">
      <formula>$C151="110"</formula>
    </cfRule>
  </conditionalFormatting>
  <conditionalFormatting sqref="P164">
    <cfRule type="expression" dxfId="1291" priority="291">
      <formula>$C164="110"</formula>
    </cfRule>
  </conditionalFormatting>
  <conditionalFormatting sqref="P168">
    <cfRule type="expression" dxfId="1290" priority="290">
      <formula>$C168="110"</formula>
    </cfRule>
  </conditionalFormatting>
  <conditionalFormatting sqref="P173">
    <cfRule type="expression" dxfId="1289" priority="289">
      <formula>$C173="110"</formula>
    </cfRule>
  </conditionalFormatting>
  <conditionalFormatting sqref="P127">
    <cfRule type="expression" dxfId="1288" priority="251">
      <formula>$C127="110"</formula>
    </cfRule>
  </conditionalFormatting>
  <conditionalFormatting sqref="P184">
    <cfRule type="expression" dxfId="1287" priority="287">
      <formula>$C184="110"</formula>
    </cfRule>
  </conditionalFormatting>
  <conditionalFormatting sqref="P216">
    <cfRule type="expression" dxfId="1286" priority="286">
      <formula>$C216="110"</formula>
    </cfRule>
  </conditionalFormatting>
  <conditionalFormatting sqref="P220">
    <cfRule type="expression" dxfId="1285" priority="285">
      <formula>$C220="110"</formula>
    </cfRule>
  </conditionalFormatting>
  <conditionalFormatting sqref="P222">
    <cfRule type="expression" dxfId="1284" priority="284">
      <formula>$C222="110"</formula>
    </cfRule>
  </conditionalFormatting>
  <conditionalFormatting sqref="P227">
    <cfRule type="expression" dxfId="1283" priority="283">
      <formula>$C227="110"</formula>
    </cfRule>
  </conditionalFormatting>
  <conditionalFormatting sqref="P233">
    <cfRule type="expression" dxfId="1282" priority="282">
      <formula>$C233="110"</formula>
    </cfRule>
  </conditionalFormatting>
  <conditionalFormatting sqref="P246">
    <cfRule type="expression" dxfId="1281" priority="281">
      <formula>$C246="110"</formula>
    </cfRule>
  </conditionalFormatting>
  <conditionalFormatting sqref="P250">
    <cfRule type="expression" dxfId="1280" priority="280">
      <formula>$C250="110"</formula>
    </cfRule>
  </conditionalFormatting>
  <conditionalFormatting sqref="P256">
    <cfRule type="expression" dxfId="1279" priority="279">
      <formula>$C256="110"</formula>
    </cfRule>
  </conditionalFormatting>
  <conditionalFormatting sqref="P267">
    <cfRule type="expression" dxfId="1278" priority="276">
      <formula>$C267="110"</formula>
    </cfRule>
  </conditionalFormatting>
  <conditionalFormatting sqref="P275">
    <cfRule type="expression" dxfId="1277" priority="274">
      <formula>$C275="110"</formula>
    </cfRule>
  </conditionalFormatting>
  <conditionalFormatting sqref="P284">
    <cfRule type="expression" dxfId="1276" priority="273">
      <formula>$C284="110"</formula>
    </cfRule>
  </conditionalFormatting>
  <conditionalFormatting sqref="P303">
    <cfRule type="expression" dxfId="1275" priority="271">
      <formula>$C303="110"</formula>
    </cfRule>
  </conditionalFormatting>
  <conditionalFormatting sqref="P315">
    <cfRule type="expression" dxfId="1274" priority="270">
      <formula>$C315="110"</formula>
    </cfRule>
  </conditionalFormatting>
  <conditionalFormatting sqref="P334">
    <cfRule type="expression" dxfId="1273" priority="269">
      <formula>$C334="110"</formula>
    </cfRule>
  </conditionalFormatting>
  <conditionalFormatting sqref="P366">
    <cfRule type="expression" dxfId="1272" priority="268">
      <formula>$C366="110"</formula>
    </cfRule>
  </conditionalFormatting>
  <conditionalFormatting sqref="P370">
    <cfRule type="expression" dxfId="1271" priority="267">
      <formula>$C370="110"</formula>
    </cfRule>
  </conditionalFormatting>
  <conditionalFormatting sqref="P378">
    <cfRule type="expression" dxfId="1270" priority="266">
      <formula>$C378="110"</formula>
    </cfRule>
  </conditionalFormatting>
  <conditionalFormatting sqref="P70:P71">
    <cfRule type="expression" dxfId="1269" priority="260">
      <formula>$C70="110"</formula>
    </cfRule>
  </conditionalFormatting>
  <conditionalFormatting sqref="P46:P48">
    <cfRule type="expression" dxfId="1268" priority="265">
      <formula>$C46="110"</formula>
    </cfRule>
  </conditionalFormatting>
  <conditionalFormatting sqref="P57:P58">
    <cfRule type="expression" dxfId="1267" priority="263">
      <formula>$C57="110"</formula>
    </cfRule>
  </conditionalFormatting>
  <conditionalFormatting sqref="P67">
    <cfRule type="expression" dxfId="1266" priority="261">
      <formula>$C67="110"</formula>
    </cfRule>
  </conditionalFormatting>
  <conditionalFormatting sqref="P367:P369">
    <cfRule type="expression" dxfId="1265" priority="221">
      <formula>$C367="110"</formula>
    </cfRule>
  </conditionalFormatting>
  <conditionalFormatting sqref="P82:P84">
    <cfRule type="expression" dxfId="1264" priority="259">
      <formula>$C82="110"</formula>
    </cfRule>
  </conditionalFormatting>
  <conditionalFormatting sqref="P86:P89">
    <cfRule type="expression" dxfId="1263" priority="258">
      <formula>$C86="110"</formula>
    </cfRule>
  </conditionalFormatting>
  <conditionalFormatting sqref="P92:P93">
    <cfRule type="expression" dxfId="1262" priority="257">
      <formula>$C92="110"</formula>
    </cfRule>
  </conditionalFormatting>
  <conditionalFormatting sqref="P96:P97">
    <cfRule type="expression" dxfId="1261" priority="256">
      <formula>$C96="110"</formula>
    </cfRule>
  </conditionalFormatting>
  <conditionalFormatting sqref="P99:P102">
    <cfRule type="expression" dxfId="1260" priority="255">
      <formula>$C99="110"</formula>
    </cfRule>
  </conditionalFormatting>
  <conditionalFormatting sqref="P104:P107">
    <cfRule type="expression" dxfId="1259" priority="254">
      <formula>$C104="110"</formula>
    </cfRule>
  </conditionalFormatting>
  <conditionalFormatting sqref="P109:P117">
    <cfRule type="expression" dxfId="1258" priority="253">
      <formula>$C109="110"</formula>
    </cfRule>
  </conditionalFormatting>
  <conditionalFormatting sqref="P120:P124">
    <cfRule type="expression" dxfId="1257" priority="252">
      <formula>$C120="110"</formula>
    </cfRule>
  </conditionalFormatting>
  <conditionalFormatting sqref="P129:P134">
    <cfRule type="expression" dxfId="1256" priority="250">
      <formula>$C129="110"</formula>
    </cfRule>
  </conditionalFormatting>
  <conditionalFormatting sqref="P136">
    <cfRule type="expression" dxfId="1255" priority="249">
      <formula>$C136="110"</formula>
    </cfRule>
  </conditionalFormatting>
  <conditionalFormatting sqref="P138:P147">
    <cfRule type="expression" dxfId="1254" priority="248">
      <formula>$C138="110"</formula>
    </cfRule>
  </conditionalFormatting>
  <conditionalFormatting sqref="P152:P153 P155:P163">
    <cfRule type="expression" dxfId="1253" priority="247">
      <formula>$C152="110"</formula>
    </cfRule>
  </conditionalFormatting>
  <conditionalFormatting sqref="P165:P167">
    <cfRule type="expression" dxfId="1252" priority="246">
      <formula>$C165="110"</formula>
    </cfRule>
  </conditionalFormatting>
  <conditionalFormatting sqref="P174:P176">
    <cfRule type="expression" dxfId="1251" priority="245">
      <formula>$C174="110"</formula>
    </cfRule>
  </conditionalFormatting>
  <conditionalFormatting sqref="P178:P180">
    <cfRule type="expression" dxfId="1250" priority="244">
      <formula>$C178="110"</formula>
    </cfRule>
  </conditionalFormatting>
  <conditionalFormatting sqref="P185:P215">
    <cfRule type="expression" dxfId="1249" priority="243">
      <formula>$C185="110"</formula>
    </cfRule>
  </conditionalFormatting>
  <conditionalFormatting sqref="P217:P219">
    <cfRule type="expression" dxfId="1248" priority="242">
      <formula>$C217="110"</formula>
    </cfRule>
  </conditionalFormatting>
  <conditionalFormatting sqref="P223:P225">
    <cfRule type="expression" dxfId="1247" priority="241">
      <formula>$C223="110"</formula>
    </cfRule>
  </conditionalFormatting>
  <conditionalFormatting sqref="P228:P231">
    <cfRule type="expression" dxfId="1246" priority="240">
      <formula>$C228="110"</formula>
    </cfRule>
  </conditionalFormatting>
  <conditionalFormatting sqref="P234:P245">
    <cfRule type="expression" dxfId="1245" priority="239">
      <formula>$C234="110"</formula>
    </cfRule>
  </conditionalFormatting>
  <conditionalFormatting sqref="P249">
    <cfRule type="expression" dxfId="1244" priority="238">
      <formula>$C249="110"</formula>
    </cfRule>
  </conditionalFormatting>
  <conditionalFormatting sqref="P251:P255">
    <cfRule type="expression" dxfId="1243" priority="237">
      <formula>$C251="110"</formula>
    </cfRule>
  </conditionalFormatting>
  <conditionalFormatting sqref="P257:P261">
    <cfRule type="expression" dxfId="1242" priority="236">
      <formula>$C257="110"</formula>
    </cfRule>
  </conditionalFormatting>
  <conditionalFormatting sqref="P264">
    <cfRule type="expression" dxfId="1241" priority="235">
      <formula>$C264="110"</formula>
    </cfRule>
  </conditionalFormatting>
  <conditionalFormatting sqref="P268:P270">
    <cfRule type="expression" dxfId="1240" priority="234">
      <formula>$C268="110"</formula>
    </cfRule>
  </conditionalFormatting>
  <conditionalFormatting sqref="P272:P273">
    <cfRule type="expression" dxfId="1239" priority="233">
      <formula>$C272="110"</formula>
    </cfRule>
  </conditionalFormatting>
  <conditionalFormatting sqref="P276:P283">
    <cfRule type="expression" dxfId="1238" priority="232">
      <formula>$C276="110"</formula>
    </cfRule>
  </conditionalFormatting>
  <conditionalFormatting sqref="P285:P288">
    <cfRule type="expression" dxfId="1237" priority="231">
      <formula>$C285="110"</formula>
    </cfRule>
  </conditionalFormatting>
  <conditionalFormatting sqref="P291">
    <cfRule type="expression" dxfId="1236" priority="230">
      <formula>$C291="110"</formula>
    </cfRule>
  </conditionalFormatting>
  <conditionalFormatting sqref="P293:P296 P298:P300">
    <cfRule type="expression" dxfId="1235" priority="229">
      <formula>$C293="110"</formula>
    </cfRule>
  </conditionalFormatting>
  <conditionalFormatting sqref="P304:P313">
    <cfRule type="expression" dxfId="1234" priority="228">
      <formula>$C304="110"</formula>
    </cfRule>
  </conditionalFormatting>
  <conditionalFormatting sqref="P316:P326">
    <cfRule type="expression" dxfId="1233" priority="227">
      <formula>$C316="110"</formula>
    </cfRule>
  </conditionalFormatting>
  <conditionalFormatting sqref="P328:P332">
    <cfRule type="expression" dxfId="1232" priority="226">
      <formula>$C328="110"</formula>
    </cfRule>
  </conditionalFormatting>
  <conditionalFormatting sqref="P335:P338">
    <cfRule type="expression" dxfId="1231" priority="225">
      <formula>$C335="110"</formula>
    </cfRule>
  </conditionalFormatting>
  <conditionalFormatting sqref="P340:P346">
    <cfRule type="expression" dxfId="1230" priority="224">
      <formula>$C340="110"</formula>
    </cfRule>
  </conditionalFormatting>
  <conditionalFormatting sqref="P348:P355">
    <cfRule type="expression" dxfId="1229" priority="223">
      <formula>$C348="110"</formula>
    </cfRule>
  </conditionalFormatting>
  <conditionalFormatting sqref="P358:P363">
    <cfRule type="expression" dxfId="1228" priority="222">
      <formula>$C358="110"</formula>
    </cfRule>
  </conditionalFormatting>
  <conditionalFormatting sqref="P371:P377">
    <cfRule type="expression" dxfId="1227" priority="220">
      <formula>$C371="110"</formula>
    </cfRule>
  </conditionalFormatting>
  <conditionalFormatting sqref="P379:P394">
    <cfRule type="expression" dxfId="1226" priority="219">
      <formula>$C379="110"</formula>
    </cfRule>
  </conditionalFormatting>
  <conditionalFormatting sqref="P266">
    <cfRule type="expression" dxfId="1225" priority="218">
      <formula>$C266="110"</formula>
    </cfRule>
  </conditionalFormatting>
  <conditionalFormatting sqref="P154">
    <cfRule type="expression" dxfId="1224" priority="217">
      <formula>$C154="110"</formula>
    </cfRule>
  </conditionalFormatting>
  <conditionalFormatting sqref="P29">
    <cfRule type="expression" dxfId="1223" priority="216">
      <formula>$C29="110"</formula>
    </cfRule>
  </conditionalFormatting>
  <conditionalFormatting sqref="P297">
    <cfRule type="expression" dxfId="1222" priority="215">
      <formula>$C297="110"</formula>
    </cfRule>
  </conditionalFormatting>
  <conditionalFormatting sqref="P21">
    <cfRule type="expression" dxfId="1221" priority="214">
      <formula>$C21="110"</formula>
    </cfRule>
  </conditionalFormatting>
  <conditionalFormatting sqref="P5">
    <cfRule type="expression" dxfId="1220" priority="213">
      <formula>$C5="110"</formula>
    </cfRule>
  </conditionalFormatting>
  <conditionalFormatting sqref="P396">
    <cfRule type="expression" dxfId="1219" priority="212">
      <formula>$C396="110"</formula>
    </cfRule>
  </conditionalFormatting>
  <conditionalFormatting sqref="P6">
    <cfRule type="expression" dxfId="1218" priority="211">
      <formula>$C6="110"</formula>
    </cfRule>
  </conditionalFormatting>
  <conditionalFormatting sqref="P26">
    <cfRule type="expression" dxfId="1217" priority="210">
      <formula>$C26="110"</formula>
    </cfRule>
  </conditionalFormatting>
  <conditionalFormatting sqref="P17">
    <cfRule type="expression" dxfId="1216" priority="209">
      <formula>$C17="110"</formula>
    </cfRule>
  </conditionalFormatting>
  <conditionalFormatting sqref="P23">
    <cfRule type="expression" dxfId="1215" priority="208">
      <formula>$C23="110"</formula>
    </cfRule>
  </conditionalFormatting>
  <conditionalFormatting sqref="P44">
    <cfRule type="expression" dxfId="1214" priority="207">
      <formula>$C44="110"</formula>
    </cfRule>
  </conditionalFormatting>
  <conditionalFormatting sqref="P52">
    <cfRule type="expression" dxfId="1213" priority="206">
      <formula>$C52="110"</formula>
    </cfRule>
  </conditionalFormatting>
  <conditionalFormatting sqref="P56">
    <cfRule type="expression" dxfId="1212" priority="205">
      <formula>$C56="110"</formula>
    </cfRule>
  </conditionalFormatting>
  <conditionalFormatting sqref="P59:P60">
    <cfRule type="expression" dxfId="1211" priority="204">
      <formula>$C59="110"</formula>
    </cfRule>
  </conditionalFormatting>
  <conditionalFormatting sqref="P63">
    <cfRule type="expression" dxfId="1210" priority="203">
      <formula>$C63="110"</formula>
    </cfRule>
  </conditionalFormatting>
  <conditionalFormatting sqref="P149">
    <cfRule type="expression" dxfId="1209" priority="202">
      <formula>$C149="110"</formula>
    </cfRule>
  </conditionalFormatting>
  <conditionalFormatting sqref="P169:P171">
    <cfRule type="expression" dxfId="1208" priority="201">
      <formula>$C169="110"</formula>
    </cfRule>
  </conditionalFormatting>
  <conditionalFormatting sqref="V148">
    <cfRule type="expression" dxfId="1207" priority="200">
      <formula>$E148="110"</formula>
    </cfRule>
  </conditionalFormatting>
  <conditionalFormatting sqref="Q398:Q399">
    <cfRule type="cellIs" dxfId="1206" priority="199" operator="equal">
      <formula>"110"</formula>
    </cfRule>
  </conditionalFormatting>
  <conditionalFormatting sqref="Q395 Q148 Q398:Q399">
    <cfRule type="expression" dxfId="1205" priority="198">
      <formula>$C148="110"</formula>
    </cfRule>
  </conditionalFormatting>
  <conditionalFormatting sqref="Q400:Q1048576">
    <cfRule type="cellIs" dxfId="1204" priority="197" operator="equal">
      <formula>"110"</formula>
    </cfRule>
  </conditionalFormatting>
  <conditionalFormatting sqref="Q3">
    <cfRule type="expression" dxfId="1203" priority="196">
      <formula>$C3="110"</formula>
    </cfRule>
  </conditionalFormatting>
  <conditionalFormatting sqref="Q7:Q16">
    <cfRule type="expression" dxfId="1202" priority="195">
      <formula>$C7="110"</formula>
    </cfRule>
  </conditionalFormatting>
  <conditionalFormatting sqref="Q4">
    <cfRule type="expression" dxfId="1201" priority="194">
      <formula>$C4="110"</formula>
    </cfRule>
  </conditionalFormatting>
  <conditionalFormatting sqref="Q18:Q19">
    <cfRule type="expression" dxfId="1200" priority="193">
      <formula>$C18="110"</formula>
    </cfRule>
  </conditionalFormatting>
  <conditionalFormatting sqref="Q50">
    <cfRule type="expression" dxfId="1199" priority="192">
      <formula>$C50="110"</formula>
    </cfRule>
  </conditionalFormatting>
  <conditionalFormatting sqref="Q73:Q75">
    <cfRule type="expression" dxfId="1198" priority="191">
      <formula>$C73="110"</formula>
    </cfRule>
  </conditionalFormatting>
  <conditionalFormatting sqref="Q78:Q79 Q81">
    <cfRule type="expression" dxfId="1197" priority="190">
      <formula>$C78="110"</formula>
    </cfRule>
  </conditionalFormatting>
  <conditionalFormatting sqref="Q91">
    <cfRule type="expression" dxfId="1196" priority="189">
      <formula>$C91="110"</formula>
    </cfRule>
  </conditionalFormatting>
  <conditionalFormatting sqref="Q302">
    <cfRule type="expression" dxfId="1195" priority="188">
      <formula>$C302="110"</formula>
    </cfRule>
  </conditionalFormatting>
  <conditionalFormatting sqref="Q365">
    <cfRule type="expression" dxfId="1194" priority="187">
      <formula>$C365="110"</formula>
    </cfRule>
  </conditionalFormatting>
  <conditionalFormatting sqref="Q64">
    <cfRule type="expression" dxfId="1193" priority="183">
      <formula>$C64="110"</formula>
    </cfRule>
  </conditionalFormatting>
  <conditionalFormatting sqref="Q24">
    <cfRule type="expression" dxfId="1192" priority="186">
      <formula>$C24="110"</formula>
    </cfRule>
  </conditionalFormatting>
  <conditionalFormatting sqref="Q53:Q55">
    <cfRule type="expression" dxfId="1191" priority="144">
      <formula>$C53="110"</formula>
    </cfRule>
  </conditionalFormatting>
  <conditionalFormatting sqref="Q22">
    <cfRule type="expression" dxfId="1190" priority="185">
      <formula>$C22="110"</formula>
    </cfRule>
  </conditionalFormatting>
  <conditionalFormatting sqref="Q262:Q263">
    <cfRule type="expression" dxfId="1189" priority="158">
      <formula>$C262="110"</formula>
    </cfRule>
  </conditionalFormatting>
  <conditionalFormatting sqref="Q27:Q28 Q30:Q43">
    <cfRule type="expression" dxfId="1188" priority="184">
      <formula>$C27="110"</formula>
    </cfRule>
  </conditionalFormatting>
  <conditionalFormatting sqref="Q68">
    <cfRule type="expression" dxfId="1187" priority="181">
      <formula>$C68="110"</formula>
    </cfRule>
  </conditionalFormatting>
  <conditionalFormatting sqref="Q292">
    <cfRule type="expression" dxfId="1186" priority="152">
      <formula>$C292="110"</formula>
    </cfRule>
  </conditionalFormatting>
  <conditionalFormatting sqref="Q271">
    <cfRule type="expression" dxfId="1185" priority="155">
      <formula>$C271="110"</formula>
    </cfRule>
  </conditionalFormatting>
  <conditionalFormatting sqref="Q182">
    <cfRule type="expression" dxfId="1184" priority="168">
      <formula>$C182="110"</formula>
    </cfRule>
  </conditionalFormatting>
  <conditionalFormatting sqref="Q265">
    <cfRule type="expression" dxfId="1183" priority="157">
      <formula>$C265="110"</formula>
    </cfRule>
  </conditionalFormatting>
  <conditionalFormatting sqref="Q66">
    <cfRule type="expression" dxfId="1182" priority="182">
      <formula>$C66="110"</formula>
    </cfRule>
  </conditionalFormatting>
  <conditionalFormatting sqref="Q61:Q62">
    <cfRule type="expression" dxfId="1181" priority="142">
      <formula>$C61="110"</formula>
    </cfRule>
  </conditionalFormatting>
  <conditionalFormatting sqref="Q80">
    <cfRule type="expression" dxfId="1180" priority="180">
      <formula>$C80="110"</formula>
    </cfRule>
  </conditionalFormatting>
  <conditionalFormatting sqref="Q85">
    <cfRule type="expression" dxfId="1179" priority="179">
      <formula>$C85="110"</formula>
    </cfRule>
  </conditionalFormatting>
  <conditionalFormatting sqref="Q95">
    <cfRule type="expression" dxfId="1178" priority="178">
      <formula>$C95="110"</formula>
    </cfRule>
  </conditionalFormatting>
  <conditionalFormatting sqref="Q98">
    <cfRule type="expression" dxfId="1177" priority="177">
      <formula>$C98="110"</formula>
    </cfRule>
  </conditionalFormatting>
  <conditionalFormatting sqref="Q108">
    <cfRule type="expression" dxfId="1176" priority="176">
      <formula>$C108="110"</formula>
    </cfRule>
  </conditionalFormatting>
  <conditionalFormatting sqref="Q119">
    <cfRule type="expression" dxfId="1175" priority="175">
      <formula>$C119="110"</formula>
    </cfRule>
  </conditionalFormatting>
  <conditionalFormatting sqref="Q128">
    <cfRule type="expression" dxfId="1174" priority="174">
      <formula>$C128="110"</formula>
    </cfRule>
  </conditionalFormatting>
  <conditionalFormatting sqref="Q137">
    <cfRule type="expression" dxfId="1173" priority="173">
      <formula>$C137="110"</formula>
    </cfRule>
  </conditionalFormatting>
  <conditionalFormatting sqref="Q151">
    <cfRule type="expression" dxfId="1172" priority="172">
      <formula>$C151="110"</formula>
    </cfRule>
  </conditionalFormatting>
  <conditionalFormatting sqref="Q164">
    <cfRule type="expression" dxfId="1171" priority="171">
      <formula>$C164="110"</formula>
    </cfRule>
  </conditionalFormatting>
  <conditionalFormatting sqref="Q168">
    <cfRule type="expression" dxfId="1170" priority="170">
      <formula>$C168="110"</formula>
    </cfRule>
  </conditionalFormatting>
  <conditionalFormatting sqref="Q173">
    <cfRule type="expression" dxfId="1169" priority="169">
      <formula>$C173="110"</formula>
    </cfRule>
  </conditionalFormatting>
  <conditionalFormatting sqref="Q127">
    <cfRule type="expression" dxfId="1168" priority="131">
      <formula>$C127="110"</formula>
    </cfRule>
  </conditionalFormatting>
  <conditionalFormatting sqref="Q184">
    <cfRule type="expression" dxfId="1167" priority="167">
      <formula>$C184="110"</formula>
    </cfRule>
  </conditionalFormatting>
  <conditionalFormatting sqref="Q216">
    <cfRule type="expression" dxfId="1166" priority="166">
      <formula>$C216="110"</formula>
    </cfRule>
  </conditionalFormatting>
  <conditionalFormatting sqref="Q220">
    <cfRule type="expression" dxfId="1165" priority="165">
      <formula>$C220="110"</formula>
    </cfRule>
  </conditionalFormatting>
  <conditionalFormatting sqref="Q222">
    <cfRule type="expression" dxfId="1164" priority="164">
      <formula>$C222="110"</formula>
    </cfRule>
  </conditionalFormatting>
  <conditionalFormatting sqref="Q227">
    <cfRule type="expression" dxfId="1163" priority="163">
      <formula>$C227="110"</formula>
    </cfRule>
  </conditionalFormatting>
  <conditionalFormatting sqref="Q233">
    <cfRule type="expression" dxfId="1162" priority="162">
      <formula>$C233="110"</formula>
    </cfRule>
  </conditionalFormatting>
  <conditionalFormatting sqref="Q246">
    <cfRule type="expression" dxfId="1161" priority="161">
      <formula>$C246="110"</formula>
    </cfRule>
  </conditionalFormatting>
  <conditionalFormatting sqref="Q250">
    <cfRule type="expression" dxfId="1160" priority="160">
      <formula>$C250="110"</formula>
    </cfRule>
  </conditionalFormatting>
  <conditionalFormatting sqref="Q256">
    <cfRule type="expression" dxfId="1159" priority="159">
      <formula>$C256="110"</formula>
    </cfRule>
  </conditionalFormatting>
  <conditionalFormatting sqref="Q267">
    <cfRule type="expression" dxfId="1158" priority="156">
      <formula>$C267="110"</formula>
    </cfRule>
  </conditionalFormatting>
  <conditionalFormatting sqref="Q275">
    <cfRule type="expression" dxfId="1157" priority="154">
      <formula>$C275="110"</formula>
    </cfRule>
  </conditionalFormatting>
  <conditionalFormatting sqref="Q284">
    <cfRule type="expression" dxfId="1156" priority="153">
      <formula>$C284="110"</formula>
    </cfRule>
  </conditionalFormatting>
  <conditionalFormatting sqref="Q303">
    <cfRule type="expression" dxfId="1155" priority="151">
      <formula>$C303="110"</formula>
    </cfRule>
  </conditionalFormatting>
  <conditionalFormatting sqref="Q315">
    <cfRule type="expression" dxfId="1154" priority="150">
      <formula>$C315="110"</formula>
    </cfRule>
  </conditionalFormatting>
  <conditionalFormatting sqref="Q334">
    <cfRule type="expression" dxfId="1153" priority="149">
      <formula>$C334="110"</formula>
    </cfRule>
  </conditionalFormatting>
  <conditionalFormatting sqref="Q366">
    <cfRule type="expression" dxfId="1152" priority="148">
      <formula>$C366="110"</formula>
    </cfRule>
  </conditionalFormatting>
  <conditionalFormatting sqref="Q370">
    <cfRule type="expression" dxfId="1151" priority="147">
      <formula>$C370="110"</formula>
    </cfRule>
  </conditionalFormatting>
  <conditionalFormatting sqref="Q378">
    <cfRule type="expression" dxfId="1150" priority="146">
      <formula>$C378="110"</formula>
    </cfRule>
  </conditionalFormatting>
  <conditionalFormatting sqref="Q70:Q71">
    <cfRule type="expression" dxfId="1149" priority="140">
      <formula>$C70="110"</formula>
    </cfRule>
  </conditionalFormatting>
  <conditionalFormatting sqref="Q46:Q48">
    <cfRule type="expression" dxfId="1148" priority="145">
      <formula>$C46="110"</formula>
    </cfRule>
  </conditionalFormatting>
  <conditionalFormatting sqref="Q57:Q58">
    <cfRule type="expression" dxfId="1147" priority="143">
      <formula>$C57="110"</formula>
    </cfRule>
  </conditionalFormatting>
  <conditionalFormatting sqref="Q67">
    <cfRule type="expression" dxfId="1146" priority="141">
      <formula>$C67="110"</formula>
    </cfRule>
  </conditionalFormatting>
  <conditionalFormatting sqref="Q367:Q369">
    <cfRule type="expression" dxfId="1145" priority="101">
      <formula>$C367="110"</formula>
    </cfRule>
  </conditionalFormatting>
  <conditionalFormatting sqref="Q82:Q84">
    <cfRule type="expression" dxfId="1144" priority="139">
      <formula>$C82="110"</formula>
    </cfRule>
  </conditionalFormatting>
  <conditionalFormatting sqref="Q86:Q89">
    <cfRule type="expression" dxfId="1143" priority="138">
      <formula>$C86="110"</formula>
    </cfRule>
  </conditionalFormatting>
  <conditionalFormatting sqref="Q92:Q93">
    <cfRule type="expression" dxfId="1142" priority="137">
      <formula>$C92="110"</formula>
    </cfRule>
  </conditionalFormatting>
  <conditionalFormatting sqref="Q96:Q97">
    <cfRule type="expression" dxfId="1141" priority="136">
      <formula>$C96="110"</formula>
    </cfRule>
  </conditionalFormatting>
  <conditionalFormatting sqref="Q99:Q102">
    <cfRule type="expression" dxfId="1140" priority="135">
      <formula>$C99="110"</formula>
    </cfRule>
  </conditionalFormatting>
  <conditionalFormatting sqref="Q104:Q107">
    <cfRule type="expression" dxfId="1139" priority="134">
      <formula>$C104="110"</formula>
    </cfRule>
  </conditionalFormatting>
  <conditionalFormatting sqref="Q109:Q117">
    <cfRule type="expression" dxfId="1138" priority="133">
      <formula>$C109="110"</formula>
    </cfRule>
  </conditionalFormatting>
  <conditionalFormatting sqref="Q120:Q124">
    <cfRule type="expression" dxfId="1137" priority="132">
      <formula>$C120="110"</formula>
    </cfRule>
  </conditionalFormatting>
  <conditionalFormatting sqref="Q129:Q134">
    <cfRule type="expression" dxfId="1136" priority="130">
      <formula>$C129="110"</formula>
    </cfRule>
  </conditionalFormatting>
  <conditionalFormatting sqref="Q136">
    <cfRule type="expression" dxfId="1135" priority="129">
      <formula>$C136="110"</formula>
    </cfRule>
  </conditionalFormatting>
  <conditionalFormatting sqref="Q138:Q147">
    <cfRule type="expression" dxfId="1134" priority="128">
      <formula>$C138="110"</formula>
    </cfRule>
  </conditionalFormatting>
  <conditionalFormatting sqref="Q152:Q153 Q155:Q163">
    <cfRule type="expression" dxfId="1133" priority="127">
      <formula>$C152="110"</formula>
    </cfRule>
  </conditionalFormatting>
  <conditionalFormatting sqref="Q165:Q167">
    <cfRule type="expression" dxfId="1132" priority="126">
      <formula>$C165="110"</formula>
    </cfRule>
  </conditionalFormatting>
  <conditionalFormatting sqref="Q174:Q176">
    <cfRule type="expression" dxfId="1131" priority="125">
      <formula>$C174="110"</formula>
    </cfRule>
  </conditionalFormatting>
  <conditionalFormatting sqref="Q178:Q180">
    <cfRule type="expression" dxfId="1130" priority="124">
      <formula>$C178="110"</formula>
    </cfRule>
  </conditionalFormatting>
  <conditionalFormatting sqref="Q185:Q215">
    <cfRule type="expression" dxfId="1129" priority="123">
      <formula>$C185="110"</formula>
    </cfRule>
  </conditionalFormatting>
  <conditionalFormatting sqref="Q217:Q219">
    <cfRule type="expression" dxfId="1128" priority="122">
      <formula>$C217="110"</formula>
    </cfRule>
  </conditionalFormatting>
  <conditionalFormatting sqref="Q223:Q225">
    <cfRule type="expression" dxfId="1127" priority="121">
      <formula>$C223="110"</formula>
    </cfRule>
  </conditionalFormatting>
  <conditionalFormatting sqref="Q228:Q231">
    <cfRule type="expression" dxfId="1126" priority="120">
      <formula>$C228="110"</formula>
    </cfRule>
  </conditionalFormatting>
  <conditionalFormatting sqref="Q234:Q245">
    <cfRule type="expression" dxfId="1125" priority="119">
      <formula>$C234="110"</formula>
    </cfRule>
  </conditionalFormatting>
  <conditionalFormatting sqref="Q249">
    <cfRule type="expression" dxfId="1124" priority="118">
      <formula>$C249="110"</formula>
    </cfRule>
  </conditionalFormatting>
  <conditionalFormatting sqref="Q251:Q255">
    <cfRule type="expression" dxfId="1123" priority="117">
      <formula>$C251="110"</formula>
    </cfRule>
  </conditionalFormatting>
  <conditionalFormatting sqref="Q257:Q261">
    <cfRule type="expression" dxfId="1122" priority="116">
      <formula>$C257="110"</formula>
    </cfRule>
  </conditionalFormatting>
  <conditionalFormatting sqref="Q264">
    <cfRule type="expression" dxfId="1121" priority="115">
      <formula>$C264="110"</formula>
    </cfRule>
  </conditionalFormatting>
  <conditionalFormatting sqref="Q268:Q270">
    <cfRule type="expression" dxfId="1120" priority="114">
      <formula>$C268="110"</formula>
    </cfRule>
  </conditionalFormatting>
  <conditionalFormatting sqref="Q272:Q273">
    <cfRule type="expression" dxfId="1119" priority="113">
      <formula>$C272="110"</formula>
    </cfRule>
  </conditionalFormatting>
  <conditionalFormatting sqref="Q276:Q283">
    <cfRule type="expression" dxfId="1118" priority="112">
      <formula>$C276="110"</formula>
    </cfRule>
  </conditionalFormatting>
  <conditionalFormatting sqref="Q285:Q288">
    <cfRule type="expression" dxfId="1117" priority="111">
      <formula>$C285="110"</formula>
    </cfRule>
  </conditionalFormatting>
  <conditionalFormatting sqref="Q291">
    <cfRule type="expression" dxfId="1116" priority="110">
      <formula>$C291="110"</formula>
    </cfRule>
  </conditionalFormatting>
  <conditionalFormatting sqref="Q293:Q296 Q298:Q300">
    <cfRule type="expression" dxfId="1115" priority="109">
      <formula>$C293="110"</formula>
    </cfRule>
  </conditionalFormatting>
  <conditionalFormatting sqref="Q304:Q313">
    <cfRule type="expression" dxfId="1114" priority="108">
      <formula>$C304="110"</formula>
    </cfRule>
  </conditionalFormatting>
  <conditionalFormatting sqref="Q316:Q326">
    <cfRule type="expression" dxfId="1113" priority="107">
      <formula>$C316="110"</formula>
    </cfRule>
  </conditionalFormatting>
  <conditionalFormatting sqref="Q328:Q332">
    <cfRule type="expression" dxfId="1112" priority="106">
      <formula>$C328="110"</formula>
    </cfRule>
  </conditionalFormatting>
  <conditionalFormatting sqref="Q335:Q338">
    <cfRule type="expression" dxfId="1111" priority="105">
      <formula>$C335="110"</formula>
    </cfRule>
  </conditionalFormatting>
  <conditionalFormatting sqref="Q340:Q346">
    <cfRule type="expression" dxfId="1110" priority="104">
      <formula>$C340="110"</formula>
    </cfRule>
  </conditionalFormatting>
  <conditionalFormatting sqref="Q348:Q355">
    <cfRule type="expression" dxfId="1109" priority="103">
      <formula>$C348="110"</formula>
    </cfRule>
  </conditionalFormatting>
  <conditionalFormatting sqref="Q358:Q363">
    <cfRule type="expression" dxfId="1108" priority="102">
      <formula>$C358="110"</formula>
    </cfRule>
  </conditionalFormatting>
  <conditionalFormatting sqref="Q371:Q377">
    <cfRule type="expression" dxfId="1107" priority="100">
      <formula>$C371="110"</formula>
    </cfRule>
  </conditionalFormatting>
  <conditionalFormatting sqref="Q379:Q394">
    <cfRule type="expression" dxfId="1106" priority="99">
      <formula>$C379="110"</formula>
    </cfRule>
  </conditionalFormatting>
  <conditionalFormatting sqref="Q266">
    <cfRule type="expression" dxfId="1105" priority="98">
      <formula>$C266="110"</formula>
    </cfRule>
  </conditionalFormatting>
  <conditionalFormatting sqref="Q154">
    <cfRule type="expression" dxfId="1104" priority="97">
      <formula>$C154="110"</formula>
    </cfRule>
  </conditionalFormatting>
  <conditionalFormatting sqref="Q29">
    <cfRule type="expression" dxfId="1103" priority="96">
      <formula>$C29="110"</formula>
    </cfRule>
  </conditionalFormatting>
  <conditionalFormatting sqref="Q297">
    <cfRule type="expression" dxfId="1102" priority="95">
      <formula>$C297="110"</formula>
    </cfRule>
  </conditionalFormatting>
  <conditionalFormatting sqref="Q21">
    <cfRule type="expression" dxfId="1101" priority="94">
      <formula>$C21="110"</formula>
    </cfRule>
  </conditionalFormatting>
  <conditionalFormatting sqref="Q5">
    <cfRule type="expression" dxfId="1100" priority="93">
      <formula>$C5="110"</formula>
    </cfRule>
  </conditionalFormatting>
  <conditionalFormatting sqref="Q396">
    <cfRule type="expression" dxfId="1099" priority="92">
      <formula>$C396="110"</formula>
    </cfRule>
  </conditionalFormatting>
  <conditionalFormatting sqref="Q6">
    <cfRule type="expression" dxfId="1098" priority="91">
      <formula>$C6="110"</formula>
    </cfRule>
  </conditionalFormatting>
  <conditionalFormatting sqref="Q26">
    <cfRule type="expression" dxfId="1097" priority="90">
      <formula>$C26="110"</formula>
    </cfRule>
  </conditionalFormatting>
  <conditionalFormatting sqref="Q17">
    <cfRule type="expression" dxfId="1096" priority="89">
      <formula>$C17="110"</formula>
    </cfRule>
  </conditionalFormatting>
  <conditionalFormatting sqref="Q23">
    <cfRule type="expression" dxfId="1095" priority="88">
      <formula>$C23="110"</formula>
    </cfRule>
  </conditionalFormatting>
  <conditionalFormatting sqref="Q44">
    <cfRule type="expression" dxfId="1094" priority="87">
      <formula>$C44="110"</formula>
    </cfRule>
  </conditionalFormatting>
  <conditionalFormatting sqref="Q52">
    <cfRule type="expression" dxfId="1093" priority="86">
      <formula>$C52="110"</formula>
    </cfRule>
  </conditionalFormatting>
  <conditionalFormatting sqref="Q56">
    <cfRule type="expression" dxfId="1092" priority="85">
      <formula>$C56="110"</formula>
    </cfRule>
  </conditionalFormatting>
  <conditionalFormatting sqref="Q59:Q60">
    <cfRule type="expression" dxfId="1091" priority="84">
      <formula>$C59="110"</formula>
    </cfRule>
  </conditionalFormatting>
  <conditionalFormatting sqref="Q63">
    <cfRule type="expression" dxfId="1090" priority="83">
      <formula>$C63="110"</formula>
    </cfRule>
  </conditionalFormatting>
  <conditionalFormatting sqref="Q149">
    <cfRule type="expression" dxfId="1089" priority="82">
      <formula>$C149="110"</formula>
    </cfRule>
  </conditionalFormatting>
  <conditionalFormatting sqref="Q169:Q171">
    <cfRule type="expression" dxfId="1088" priority="81">
      <formula>$C169="110"</formula>
    </cfRule>
  </conditionalFormatting>
  <conditionalFormatting sqref="V263">
    <cfRule type="expression" dxfId="1087" priority="80">
      <formula>$C263="110"</formula>
    </cfRule>
  </conditionalFormatting>
  <conditionalFormatting sqref="U263">
    <cfRule type="expression" dxfId="1086" priority="1">
      <formula>$C263="110"</formula>
    </cfRule>
  </conditionalFormatting>
  <conditionalFormatting sqref="U399:U1048576">
    <cfRule type="cellIs" dxfId="1085" priority="78" operator="equal">
      <formula>"110"</formula>
    </cfRule>
  </conditionalFormatting>
  <conditionalFormatting sqref="U365 U358 U302 U291 U249 U127 U78 U399 U3">
    <cfRule type="expression" dxfId="1084" priority="77">
      <formula>$C3="110"</formula>
    </cfRule>
  </conditionalFormatting>
  <conditionalFormatting sqref="U365">
    <cfRule type="cellIs" dxfId="1083" priority="76" operator="equal">
      <formula>"110"</formula>
    </cfRule>
  </conditionalFormatting>
  <conditionalFormatting sqref="U7:U16 U27:U43 U120:U124 U395 U176 U173">
    <cfRule type="expression" dxfId="1082" priority="79">
      <formula>$E7="110"</formula>
    </cfRule>
  </conditionalFormatting>
  <conditionalFormatting sqref="U18:U19">
    <cfRule type="expression" dxfId="1081" priority="75">
      <formula>$C18="110"</formula>
    </cfRule>
  </conditionalFormatting>
  <conditionalFormatting sqref="U22">
    <cfRule type="expression" dxfId="1080" priority="74">
      <formula>$E22="110"</formula>
    </cfRule>
  </conditionalFormatting>
  <conditionalFormatting sqref="U24">
    <cfRule type="expression" dxfId="1079" priority="73">
      <formula>$C24="110"</formula>
    </cfRule>
  </conditionalFormatting>
  <conditionalFormatting sqref="U46:U48">
    <cfRule type="expression" dxfId="1078" priority="72">
      <formula>$E46="110"</formula>
    </cfRule>
  </conditionalFormatting>
  <conditionalFormatting sqref="U50">
    <cfRule type="expression" dxfId="1077" priority="71">
      <formula>$E50="110"</formula>
    </cfRule>
  </conditionalFormatting>
  <conditionalFormatting sqref="U53:U55 U61:U62 U57:U58">
    <cfRule type="expression" dxfId="1076" priority="70">
      <formula>$E53="110"</formula>
    </cfRule>
  </conditionalFormatting>
  <conditionalFormatting sqref="U66:U67">
    <cfRule type="expression" dxfId="1075" priority="69">
      <formula>$E66="110"</formula>
    </cfRule>
  </conditionalFormatting>
  <conditionalFormatting sqref="U70:U71">
    <cfRule type="expression" dxfId="1074" priority="68">
      <formula>$E70="110"</formula>
    </cfRule>
  </conditionalFormatting>
  <conditionalFormatting sqref="U73:U75">
    <cfRule type="expression" dxfId="1073" priority="67">
      <formula>$E73="110"</formula>
    </cfRule>
  </conditionalFormatting>
  <conditionalFormatting sqref="U79 U81:U84 U86:U89">
    <cfRule type="expression" dxfId="1072" priority="66">
      <formula>$E79="110"</formula>
    </cfRule>
  </conditionalFormatting>
  <conditionalFormatting sqref="U91:U93">
    <cfRule type="expression" dxfId="1071" priority="65">
      <formula>$E91="110"</formula>
    </cfRule>
  </conditionalFormatting>
  <conditionalFormatting sqref="U96:U102">
    <cfRule type="expression" dxfId="1070" priority="64">
      <formula>$E96="110"</formula>
    </cfRule>
  </conditionalFormatting>
  <conditionalFormatting sqref="U104:U117">
    <cfRule type="expression" dxfId="1069" priority="63">
      <formula>$E104="110"</formula>
    </cfRule>
  </conditionalFormatting>
  <conditionalFormatting sqref="U129:U134">
    <cfRule type="expression" dxfId="1068" priority="62">
      <formula>$E129="110"</formula>
    </cfRule>
  </conditionalFormatting>
  <conditionalFormatting sqref="U136 U138:U147">
    <cfRule type="expression" dxfId="1067" priority="61">
      <formula>$E136="110"</formula>
    </cfRule>
  </conditionalFormatting>
  <conditionalFormatting sqref="U152:U163 U178:U180 U165:U171">
    <cfRule type="expression" dxfId="1066" priority="60">
      <formula>$E152="110"</formula>
    </cfRule>
  </conditionalFormatting>
  <conditionalFormatting sqref="U182">
    <cfRule type="expression" dxfId="1065" priority="59">
      <formula>$E182="110"</formula>
    </cfRule>
  </conditionalFormatting>
  <conditionalFormatting sqref="U185:U215 U217:U219">
    <cfRule type="expression" dxfId="1064" priority="58">
      <formula>$E185="110"</formula>
    </cfRule>
  </conditionalFormatting>
  <conditionalFormatting sqref="U223:U225">
    <cfRule type="expression" dxfId="1063" priority="57">
      <formula>$E223="110"</formula>
    </cfRule>
  </conditionalFormatting>
  <conditionalFormatting sqref="U228:U231">
    <cfRule type="expression" dxfId="1062" priority="56">
      <formula>$E228="110"</formula>
    </cfRule>
  </conditionalFormatting>
  <conditionalFormatting sqref="U234:U246">
    <cfRule type="expression" dxfId="1061" priority="55">
      <formula>$E234="110"</formula>
    </cfRule>
  </conditionalFormatting>
  <conditionalFormatting sqref="U251:U261 U264 U266:U273">
    <cfRule type="expression" dxfId="1060" priority="54">
      <formula>$E251="110"</formula>
    </cfRule>
  </conditionalFormatting>
  <conditionalFormatting sqref="U276:U288">
    <cfRule type="expression" dxfId="1059" priority="53">
      <formula>$E276="110"</formula>
    </cfRule>
  </conditionalFormatting>
  <conditionalFormatting sqref="U293:U300">
    <cfRule type="expression" dxfId="1058" priority="52">
      <formula>$E293="110"</formula>
    </cfRule>
  </conditionalFormatting>
  <conditionalFormatting sqref="U303:U313">
    <cfRule type="expression" dxfId="1057" priority="51">
      <formula>$E303="110"</formula>
    </cfRule>
  </conditionalFormatting>
  <conditionalFormatting sqref="U316:U326">
    <cfRule type="expression" dxfId="1056" priority="50">
      <formula>$E316="110"</formula>
    </cfRule>
  </conditionalFormatting>
  <conditionalFormatting sqref="U328:U332">
    <cfRule type="expression" dxfId="1055" priority="49">
      <formula>$E328="110"</formula>
    </cfRule>
  </conditionalFormatting>
  <conditionalFormatting sqref="U335:U338">
    <cfRule type="expression" dxfId="1054" priority="48">
      <formula>$E335="110"</formula>
    </cfRule>
  </conditionalFormatting>
  <conditionalFormatting sqref="U340:U346">
    <cfRule type="expression" dxfId="1053" priority="47">
      <formula>$E340="110"</formula>
    </cfRule>
  </conditionalFormatting>
  <conditionalFormatting sqref="U348:U355">
    <cfRule type="expression" dxfId="1052" priority="46">
      <formula>$E348="110"</formula>
    </cfRule>
  </conditionalFormatting>
  <conditionalFormatting sqref="U359:U363">
    <cfRule type="expression" dxfId="1051" priority="45">
      <formula>$E359="110"</formula>
    </cfRule>
  </conditionalFormatting>
  <conditionalFormatting sqref="U367:U369 U371:U377 U379:U394">
    <cfRule type="expression" dxfId="1050" priority="44">
      <formula>$E367="110"</formula>
    </cfRule>
  </conditionalFormatting>
  <conditionalFormatting sqref="U119">
    <cfRule type="expression" dxfId="1049" priority="38">
      <formula>$E119="110"</formula>
    </cfRule>
  </conditionalFormatting>
  <conditionalFormatting sqref="U184">
    <cfRule type="expression" dxfId="1048" priority="33">
      <formula>$E184="110"</formula>
    </cfRule>
  </conditionalFormatting>
  <conditionalFormatting sqref="U366">
    <cfRule type="expression" dxfId="1047" priority="20">
      <formula>$E366="110"</formula>
    </cfRule>
  </conditionalFormatting>
  <conditionalFormatting sqref="U378">
    <cfRule type="expression" dxfId="1046" priority="18">
      <formula>$E378="110"</formula>
    </cfRule>
  </conditionalFormatting>
  <conditionalFormatting sqref="U220">
    <cfRule type="expression" dxfId="1045" priority="31">
      <formula>$C220="110"</formula>
    </cfRule>
  </conditionalFormatting>
  <conditionalFormatting sqref="U262">
    <cfRule type="expression" dxfId="1044" priority="26">
      <formula>$C262="110"</formula>
    </cfRule>
  </conditionalFormatting>
  <conditionalFormatting sqref="U64">
    <cfRule type="expression" dxfId="1043" priority="43">
      <formula>$C64="110"</formula>
    </cfRule>
  </conditionalFormatting>
  <conditionalFormatting sqref="U4">
    <cfRule type="expression" dxfId="1042" priority="42">
      <formula>$E4="110"</formula>
    </cfRule>
  </conditionalFormatting>
  <conditionalFormatting sqref="U80">
    <cfRule type="expression" dxfId="1041" priority="40">
      <formula>$E80="110"</formula>
    </cfRule>
  </conditionalFormatting>
  <conditionalFormatting sqref="U128">
    <cfRule type="expression" dxfId="1040" priority="37">
      <formula>$E128="110"</formula>
    </cfRule>
  </conditionalFormatting>
  <conditionalFormatting sqref="U68">
    <cfRule type="expression" dxfId="1039" priority="41">
      <formula>$E68="110"</formula>
    </cfRule>
  </conditionalFormatting>
  <conditionalFormatting sqref="U292">
    <cfRule type="expression" dxfId="1038" priority="23">
      <formula>$E292="110"</formula>
    </cfRule>
  </conditionalFormatting>
  <conditionalFormatting sqref="U85">
    <cfRule type="expression" dxfId="1037" priority="39">
      <formula>$E85="110"</formula>
    </cfRule>
  </conditionalFormatting>
  <conditionalFormatting sqref="U137">
    <cfRule type="expression" dxfId="1036" priority="36">
      <formula>$E137="110"</formula>
    </cfRule>
  </conditionalFormatting>
  <conditionalFormatting sqref="U151">
    <cfRule type="expression" dxfId="1035" priority="35">
      <formula>$E151="110"</formula>
    </cfRule>
  </conditionalFormatting>
  <conditionalFormatting sqref="U164">
    <cfRule type="expression" dxfId="1034" priority="34">
      <formula>$E164="110"</formula>
    </cfRule>
  </conditionalFormatting>
  <conditionalFormatting sqref="U216">
    <cfRule type="expression" dxfId="1033" priority="32">
      <formula>$C216="110"</formula>
    </cfRule>
  </conditionalFormatting>
  <conditionalFormatting sqref="U222">
    <cfRule type="expression" dxfId="1032" priority="30">
      <formula>$E222="110"</formula>
    </cfRule>
  </conditionalFormatting>
  <conditionalFormatting sqref="U227">
    <cfRule type="expression" dxfId="1031" priority="29">
      <formula>$C227="110"</formula>
    </cfRule>
  </conditionalFormatting>
  <conditionalFormatting sqref="U233">
    <cfRule type="expression" dxfId="1030" priority="28">
      <formula>$E233="110"</formula>
    </cfRule>
  </conditionalFormatting>
  <conditionalFormatting sqref="U250">
    <cfRule type="expression" dxfId="1029" priority="27">
      <formula>$E250="110"</formula>
    </cfRule>
  </conditionalFormatting>
  <conditionalFormatting sqref="U265">
    <cfRule type="expression" dxfId="1028" priority="25">
      <formula>$E265="110"</formula>
    </cfRule>
  </conditionalFormatting>
  <conditionalFormatting sqref="U275">
    <cfRule type="expression" dxfId="1027" priority="24">
      <formula>$E275="110"</formula>
    </cfRule>
  </conditionalFormatting>
  <conditionalFormatting sqref="U315">
    <cfRule type="expression" dxfId="1026" priority="22">
      <formula>$E315="110"</formula>
    </cfRule>
  </conditionalFormatting>
  <conditionalFormatting sqref="U334">
    <cfRule type="expression" dxfId="1025" priority="21">
      <formula>$E334="110"</formula>
    </cfRule>
  </conditionalFormatting>
  <conditionalFormatting sqref="U370">
    <cfRule type="expression" dxfId="1024" priority="19">
      <formula>$E370="110"</formula>
    </cfRule>
  </conditionalFormatting>
  <conditionalFormatting sqref="U21">
    <cfRule type="expression" dxfId="1023" priority="17">
      <formula>$E21="110"</formula>
    </cfRule>
  </conditionalFormatting>
  <conditionalFormatting sqref="U5">
    <cfRule type="expression" dxfId="1022" priority="16">
      <formula>$E5="110"</formula>
    </cfRule>
  </conditionalFormatting>
  <conditionalFormatting sqref="U396">
    <cfRule type="expression" dxfId="1021" priority="15">
      <formula>$E396="110"</formula>
    </cfRule>
  </conditionalFormatting>
  <conditionalFormatting sqref="U6">
    <cfRule type="expression" dxfId="1020" priority="14">
      <formula>$E6="110"</formula>
    </cfRule>
  </conditionalFormatting>
  <conditionalFormatting sqref="U26">
    <cfRule type="expression" dxfId="1019" priority="13">
      <formula>$C26="110"</formula>
    </cfRule>
  </conditionalFormatting>
  <conditionalFormatting sqref="U17">
    <cfRule type="expression" dxfId="1018" priority="12">
      <formula>$C17="110"</formula>
    </cfRule>
  </conditionalFormatting>
  <conditionalFormatting sqref="U23">
    <cfRule type="expression" dxfId="1017" priority="11">
      <formula>$C23="110"</formula>
    </cfRule>
  </conditionalFormatting>
  <conditionalFormatting sqref="U44">
    <cfRule type="expression" dxfId="1016" priority="10">
      <formula>$C44="110"</formula>
    </cfRule>
  </conditionalFormatting>
  <conditionalFormatting sqref="U52">
    <cfRule type="expression" dxfId="1015" priority="9">
      <formula>$C52="110"</formula>
    </cfRule>
  </conditionalFormatting>
  <conditionalFormatting sqref="U56">
    <cfRule type="expression" dxfId="1014" priority="8">
      <formula>$C56="110"</formula>
    </cfRule>
  </conditionalFormatting>
  <conditionalFormatting sqref="U59:U60">
    <cfRule type="expression" dxfId="1013" priority="7">
      <formula>$C59="110"</formula>
    </cfRule>
  </conditionalFormatting>
  <conditionalFormatting sqref="U63">
    <cfRule type="expression" dxfId="1012" priority="6">
      <formula>$C63="110"</formula>
    </cfRule>
  </conditionalFormatting>
  <conditionalFormatting sqref="U95">
    <cfRule type="expression" dxfId="1011" priority="5">
      <formula>$E95="110"</formula>
    </cfRule>
  </conditionalFormatting>
  <conditionalFormatting sqref="U149">
    <cfRule type="expression" dxfId="1010" priority="4">
      <formula>$E149="110"</formula>
    </cfRule>
  </conditionalFormatting>
  <conditionalFormatting sqref="U174:U175">
    <cfRule type="expression" dxfId="1009" priority="3">
      <formula>$E174="110"</formula>
    </cfRule>
  </conditionalFormatting>
  <conditionalFormatting sqref="U148">
    <cfRule type="expression" dxfId="1008" priority="2">
      <formula>$E148="110"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horizontalDpi="4294967294" verticalDpi="4294967294" r:id="rId1"/>
  <headerFooter>
    <oddHeader>&amp;A&amp;Rעמוד &amp;P</oddHeader>
    <oddFooter>&amp;C&amp;P</oddFooter>
  </headerFooter>
  <rowBreaks count="12" manualBreakCount="12">
    <brk id="36" min="1" max="21" man="1"/>
    <brk id="51" min="1" max="21" man="1"/>
    <brk id="65" min="1" max="21" man="1"/>
    <brk id="94" min="1" max="21" man="1"/>
    <brk id="129" min="1" max="21" man="1"/>
    <brk id="150" min="1" max="21" man="1"/>
    <brk id="183" min="1" max="21" man="1"/>
    <brk id="221" min="1" max="21" man="1"/>
    <brk id="263" min="1" max="21" man="1"/>
    <brk id="301" min="1" max="21" man="1"/>
    <brk id="339" min="1" max="21" man="1"/>
    <brk id="357" min="1" max="21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14" id="{BA0AB46F-0325-42FE-8396-4F92122711FD}">
            <xm:f>L$399&lt;&gt;'\Users\Admin\Downloads\[תקציב 2018 מאושר למליאה.xlsx]ריכוז'!#REF!</xm:f>
            <x14:dxf>
              <fill>
                <patternFill>
                  <bgColor rgb="FFFF0000"/>
                </patternFill>
              </fill>
            </x14:dxf>
          </x14:cfRule>
          <xm:sqref>L399:T399</xm:sqref>
        </x14:conditionalFormatting>
        <x14:conditionalFormatting xmlns:xm="http://schemas.microsoft.com/office/excel/2006/main">
          <x14:cfRule type="expression" priority="921" id="{C8A9A598-6DBF-4203-B34A-47E5EA18A2E7}">
            <xm:f>P$399&lt;&gt;'\Users\Admin\Downloads\[תקציב 2018 מאושר למליאה.xlsx]ריכוז'!#REF!</xm:f>
            <x14:dxf>
              <fill>
                <patternFill>
                  <bgColor rgb="FFFF0000"/>
                </patternFill>
              </fill>
            </x14:dxf>
          </x14:cfRule>
          <xm:sqref>P399:T399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0"/>
  <sheetViews>
    <sheetView rightToLeft="1" view="pageBreakPreview" topLeftCell="A324" zoomScale="115" zoomScaleNormal="100" zoomScaleSheetLayoutView="115" workbookViewId="0">
      <selection activeCell="B2" sqref="B2:T350"/>
    </sheetView>
  </sheetViews>
  <sheetFormatPr defaultColWidth="9" defaultRowHeight="24.95" customHeight="1"/>
  <cols>
    <col min="1" max="1" width="5.375" style="1" bestFit="1" customWidth="1"/>
    <col min="2" max="2" width="9.625" style="1" bestFit="1" customWidth="1"/>
    <col min="3" max="3" width="5.625" style="1" customWidth="1"/>
    <col min="4" max="4" width="7" style="1" bestFit="1" customWidth="1"/>
    <col min="5" max="5" width="23.875" style="1" bestFit="1" customWidth="1"/>
    <col min="6" max="6" width="11" style="1" hidden="1" customWidth="1"/>
    <col min="7" max="7" width="11.25" style="1" hidden="1" customWidth="1"/>
    <col min="8" max="8" width="12.75" style="1" hidden="1" customWidth="1"/>
    <col min="9" max="9" width="11.625" style="1" hidden="1" customWidth="1"/>
    <col min="10" max="10" width="9.375" style="1" hidden="1" customWidth="1"/>
    <col min="11" max="11" width="10.125" style="1" hidden="1" customWidth="1"/>
    <col min="12" max="15" width="11.125" style="1" hidden="1" customWidth="1"/>
    <col min="16" max="16" width="9.875" style="1" bestFit="1" customWidth="1"/>
    <col min="17" max="17" width="12.5" style="1" hidden="1" customWidth="1"/>
    <col min="18" max="18" width="10.5" style="1" bestFit="1" customWidth="1"/>
    <col min="19" max="19" width="12.75" style="1" bestFit="1" customWidth="1"/>
    <col min="20" max="20" width="10.125" style="1" bestFit="1" customWidth="1"/>
    <col min="21" max="22" width="9" style="1" hidden="1" customWidth="1"/>
    <col min="23" max="23" width="11.875" style="1" hidden="1" customWidth="1"/>
    <col min="24" max="24" width="31.125" style="5" hidden="1" customWidth="1"/>
    <col min="25" max="25" width="11" style="1" bestFit="1" customWidth="1"/>
    <col min="26" max="16384" width="9" style="1"/>
  </cols>
  <sheetData>
    <row r="1" spans="1:24" ht="24.95" customHeight="1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4" s="6" customFormat="1" ht="57" customHeight="1">
      <c r="A2" s="6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10" t="s">
        <v>19</v>
      </c>
      <c r="U2" s="6" t="s">
        <v>20</v>
      </c>
      <c r="X2" s="11"/>
    </row>
    <row r="3" spans="1:24" s="12" customFormat="1" ht="36.75" customHeight="1">
      <c r="B3" s="13"/>
      <c r="C3" s="227" t="s">
        <v>21</v>
      </c>
      <c r="D3" s="227"/>
      <c r="E3" s="14"/>
      <c r="F3" s="14"/>
      <c r="G3" s="14"/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  <c r="U3" s="12">
        <f>IF(ISBLANK(B3),1,--OR(L3&gt;1,M3&gt;1,N3&gt;1))</f>
        <v>1</v>
      </c>
      <c r="X3" s="17"/>
    </row>
    <row r="4" spans="1:24" ht="24.95" customHeight="1">
      <c r="A4" s="1">
        <v>1</v>
      </c>
      <c r="B4" s="18">
        <v>1111000100</v>
      </c>
      <c r="C4" s="19" t="str">
        <f t="shared" ref="C4:C15" si="0">MID(B4,8,3)</f>
        <v>100</v>
      </c>
      <c r="D4" s="19" t="str">
        <f t="shared" ref="D4:D15" si="1">MID(B4,2,6)</f>
        <v>111000</v>
      </c>
      <c r="E4" s="19" t="s">
        <v>22</v>
      </c>
      <c r="F4" s="20">
        <v>6400000</v>
      </c>
      <c r="G4" s="20">
        <v>5036000</v>
      </c>
      <c r="H4" s="20">
        <f>G4*12/10</f>
        <v>6043200</v>
      </c>
      <c r="I4" s="20">
        <v>6600000</v>
      </c>
      <c r="J4" s="20" t="e">
        <f>VLOOKUP(B4,#REF!,6,0)</f>
        <v>#REF!</v>
      </c>
      <c r="K4" s="20" t="e">
        <f>+J4*1.71428571428571</f>
        <v>#REF!</v>
      </c>
      <c r="L4" s="20">
        <v>6250000</v>
      </c>
      <c r="M4" s="20">
        <v>6250000</v>
      </c>
      <c r="N4" s="20">
        <v>6400000</v>
      </c>
      <c r="O4" s="20">
        <v>4290000</v>
      </c>
      <c r="P4" s="20">
        <f>VLOOKUP(B:B,'[3]תקבולים 2017'!B:R,15,0)</f>
        <v>4420000</v>
      </c>
      <c r="Q4" s="20">
        <f>-VLOOKUP(B:B,'[3]דוח כספי 10.17 מעודכן'!A:D,4,0)</f>
        <v>3550518.54</v>
      </c>
      <c r="R4" s="20">
        <f>VLOOKUP(B:B,'[3]תקבולים 2017'!B:T,17,0)</f>
        <v>4350000</v>
      </c>
      <c r="S4" s="20">
        <f t="shared" ref="S4:S15" si="2">Q4/10*12</f>
        <v>4260622.2479999997</v>
      </c>
      <c r="T4" s="21">
        <v>4560000</v>
      </c>
      <c r="U4" s="12">
        <f>IF(ISBLANK(B4),1,--OR(L4&gt;1,M4&gt;1,N4&gt;1))</f>
        <v>1</v>
      </c>
      <c r="V4" s="22">
        <f>+Q4-N4</f>
        <v>-2849481.46</v>
      </c>
      <c r="W4" s="23">
        <f t="shared" ref="W4:W15" si="3">P4-Q4</f>
        <v>869481.46</v>
      </c>
    </row>
    <row r="5" spans="1:24" ht="24.95" customHeight="1">
      <c r="A5" s="1">
        <v>1</v>
      </c>
      <c r="B5" s="18">
        <v>1112000121</v>
      </c>
      <c r="C5" s="19" t="str">
        <f t="shared" si="0"/>
        <v>121</v>
      </c>
      <c r="D5" s="19" t="str">
        <f t="shared" si="1"/>
        <v>112000</v>
      </c>
      <c r="E5" s="19" t="s">
        <v>23</v>
      </c>
      <c r="F5" s="20">
        <v>420000</v>
      </c>
      <c r="G5" s="20">
        <v>558000</v>
      </c>
      <c r="H5" s="20">
        <f>6474000-H4</f>
        <v>430800</v>
      </c>
      <c r="I5" s="20">
        <v>500000</v>
      </c>
      <c r="J5" s="20" t="e">
        <f>VLOOKUP(B5,#REF!,6,0)</f>
        <v>#REF!</v>
      </c>
      <c r="K5" s="20" t="e">
        <f>+J5*1.71428571428571</f>
        <v>#REF!</v>
      </c>
      <c r="L5" s="20">
        <v>550000</v>
      </c>
      <c r="M5" s="20">
        <v>550000</v>
      </c>
      <c r="N5" s="20">
        <v>600000</v>
      </c>
      <c r="O5" s="20">
        <v>380000</v>
      </c>
      <c r="P5" s="20">
        <f>VLOOKUP(B:B,'[3]תקבולים 2017'!B:R,15,0)</f>
        <v>2471000</v>
      </c>
      <c r="Q5" s="20">
        <f>-VLOOKUP(B:B,'[3]דוח כספי 10.17 מעודכן'!A:D,4,0)</f>
        <v>132200.14000000001</v>
      </c>
      <c r="R5" s="20">
        <f>VLOOKUP(B:B,'[3]תקבולים 2017'!B:T,17,0)</f>
        <v>2000000</v>
      </c>
      <c r="S5" s="20">
        <f t="shared" si="2"/>
        <v>158640.16800000001</v>
      </c>
      <c r="T5" s="21">
        <v>2000000</v>
      </c>
      <c r="U5" s="12">
        <f>IF(ISBLANK(B5),1,--OR(L5&gt;1,M5&gt;1,N5&gt;1))</f>
        <v>1</v>
      </c>
      <c r="V5" s="22">
        <f>+Q5-N5</f>
        <v>-467799.86</v>
      </c>
      <c r="W5" s="23">
        <f t="shared" si="3"/>
        <v>2338799.86</v>
      </c>
    </row>
    <row r="6" spans="1:24" ht="24.95" hidden="1" customHeight="1">
      <c r="A6" s="1">
        <v>1</v>
      </c>
      <c r="B6" s="24">
        <v>1112000122</v>
      </c>
      <c r="C6" s="25" t="str">
        <f t="shared" si="0"/>
        <v>122</v>
      </c>
      <c r="D6" s="25" t="str">
        <f t="shared" si="1"/>
        <v>112000</v>
      </c>
      <c r="E6" s="25" t="s">
        <v>24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>
        <f>-VLOOKUP(B:B,'[3]דוח כספי 10.17 מעודכן'!A:D,4,0)</f>
        <v>2238.09</v>
      </c>
      <c r="R6" s="26">
        <f>VLOOKUP(B:B,'[3]תקבולים 2017'!B:T,17,0)</f>
        <v>0</v>
      </c>
      <c r="S6" s="26">
        <f t="shared" si="2"/>
        <v>2685.7080000000005</v>
      </c>
      <c r="T6" s="27">
        <v>0</v>
      </c>
      <c r="U6" s="12"/>
      <c r="V6" s="22"/>
      <c r="W6" s="23">
        <f t="shared" si="3"/>
        <v>-2238.09</v>
      </c>
      <c r="X6" s="5" t="s">
        <v>25</v>
      </c>
    </row>
    <row r="7" spans="1:24" ht="24.95" hidden="1" customHeight="1">
      <c r="A7" s="1">
        <v>1</v>
      </c>
      <c r="B7" s="24">
        <v>1112000123</v>
      </c>
      <c r="C7" s="25" t="str">
        <f t="shared" si="0"/>
        <v>123</v>
      </c>
      <c r="D7" s="25" t="str">
        <f t="shared" si="1"/>
        <v>112000</v>
      </c>
      <c r="E7" s="25" t="s">
        <v>26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>
        <f>-VLOOKUP(B:B,'[3]דוח כספי 10.17 מעודכן'!A:D,4,0)</f>
        <v>57715.02</v>
      </c>
      <c r="R7" s="26">
        <f>VLOOKUP(B:B,'[3]תקבולים 2017'!B:T,17,0)</f>
        <v>0</v>
      </c>
      <c r="S7" s="26">
        <f t="shared" si="2"/>
        <v>69258.02399999999</v>
      </c>
      <c r="T7" s="27">
        <v>0</v>
      </c>
      <c r="U7" s="12"/>
      <c r="V7" s="22"/>
      <c r="W7" s="23">
        <f t="shared" si="3"/>
        <v>-57715.02</v>
      </c>
      <c r="X7" s="5" t="s">
        <v>25</v>
      </c>
    </row>
    <row r="8" spans="1:24" ht="24.95" hidden="1" customHeight="1">
      <c r="A8" s="1">
        <v>1</v>
      </c>
      <c r="B8" s="24">
        <v>1112000124</v>
      </c>
      <c r="C8" s="25" t="str">
        <f t="shared" si="0"/>
        <v>124</v>
      </c>
      <c r="D8" s="25" t="str">
        <f t="shared" si="1"/>
        <v>112000</v>
      </c>
      <c r="E8" s="25" t="s">
        <v>27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>
        <f>-VLOOKUP(B:B,'[3]דוח כספי 10.17 מעודכן'!A:D,4,0)</f>
        <v>15940.53</v>
      </c>
      <c r="R8" s="26">
        <f>VLOOKUP(B:B,'[3]תקבולים 2017'!B:T,17,0)</f>
        <v>0</v>
      </c>
      <c r="S8" s="26">
        <f t="shared" si="2"/>
        <v>19128.636000000002</v>
      </c>
      <c r="T8" s="27">
        <v>0</v>
      </c>
      <c r="U8" s="12"/>
      <c r="V8" s="22"/>
      <c r="W8" s="23">
        <f t="shared" si="3"/>
        <v>-15940.53</v>
      </c>
      <c r="X8" s="5" t="s">
        <v>25</v>
      </c>
    </row>
    <row r="9" spans="1:24" ht="24.95" hidden="1" customHeight="1">
      <c r="A9" s="1">
        <v>1</v>
      </c>
      <c r="B9" s="24">
        <v>1112000125</v>
      </c>
      <c r="C9" s="25" t="str">
        <f t="shared" si="0"/>
        <v>125</v>
      </c>
      <c r="D9" s="25" t="str">
        <f t="shared" si="1"/>
        <v>112000</v>
      </c>
      <c r="E9" s="25" t="s">
        <v>28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>
        <f>-VLOOKUP(B:B,'[3]דוח כספי 10.17 מעודכן'!A:D,4,0)</f>
        <v>8826.9599999999991</v>
      </c>
      <c r="R9" s="26">
        <f>VLOOKUP(B:B,'[3]תקבולים 2017'!B:T,17,0)</f>
        <v>0</v>
      </c>
      <c r="S9" s="26">
        <f t="shared" si="2"/>
        <v>10592.351999999999</v>
      </c>
      <c r="T9" s="27">
        <v>0</v>
      </c>
      <c r="U9" s="12"/>
      <c r="V9" s="22"/>
      <c r="W9" s="23">
        <f t="shared" si="3"/>
        <v>-8826.9599999999991</v>
      </c>
      <c r="X9" s="5" t="s">
        <v>25</v>
      </c>
    </row>
    <row r="10" spans="1:24" ht="24.95" hidden="1" customHeight="1">
      <c r="A10" s="1">
        <v>1</v>
      </c>
      <c r="B10" s="24">
        <v>1112000126</v>
      </c>
      <c r="C10" s="25" t="str">
        <f t="shared" si="0"/>
        <v>126</v>
      </c>
      <c r="D10" s="25" t="str">
        <f t="shared" si="1"/>
        <v>112000</v>
      </c>
      <c r="E10" s="25" t="s">
        <v>29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>
        <f>-VLOOKUP(B:B,'[3]דוח כספי 10.17 מעודכן'!A:D,4,0)</f>
        <v>16285.82</v>
      </c>
      <c r="R10" s="26">
        <f>VLOOKUP(B:B,'[3]תקבולים 2017'!B:T,17,0)</f>
        <v>0</v>
      </c>
      <c r="S10" s="26">
        <f t="shared" si="2"/>
        <v>19542.983999999997</v>
      </c>
      <c r="T10" s="27">
        <v>0</v>
      </c>
      <c r="U10" s="12"/>
      <c r="V10" s="22"/>
      <c r="W10" s="23">
        <f t="shared" si="3"/>
        <v>-16285.82</v>
      </c>
      <c r="X10" s="5" t="s">
        <v>25</v>
      </c>
    </row>
    <row r="11" spans="1:24" ht="24.95" hidden="1" customHeight="1">
      <c r="A11" s="1">
        <v>1</v>
      </c>
      <c r="B11" s="24">
        <v>1112000127</v>
      </c>
      <c r="C11" s="25" t="str">
        <f t="shared" si="0"/>
        <v>127</v>
      </c>
      <c r="D11" s="25" t="str">
        <f t="shared" si="1"/>
        <v>112000</v>
      </c>
      <c r="E11" s="25" t="s">
        <v>30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>
        <f>-VLOOKUP(B:B,'[3]דוח כספי 10.17 מעודכן'!A:D,4,0)</f>
        <v>32514.5</v>
      </c>
      <c r="R11" s="26">
        <f>VLOOKUP(B:B,'[3]תקבולים 2017'!B:T,17,0)</f>
        <v>0</v>
      </c>
      <c r="S11" s="26">
        <f t="shared" si="2"/>
        <v>39017.399999999994</v>
      </c>
      <c r="T11" s="27">
        <v>0</v>
      </c>
      <c r="U11" s="12"/>
      <c r="V11" s="22"/>
      <c r="W11" s="23">
        <f t="shared" si="3"/>
        <v>-32514.5</v>
      </c>
      <c r="X11" s="5" t="s">
        <v>25</v>
      </c>
    </row>
    <row r="12" spans="1:24" ht="24.95" hidden="1" customHeight="1">
      <c r="A12" s="1">
        <v>1</v>
      </c>
      <c r="B12" s="24">
        <v>1112000128</v>
      </c>
      <c r="C12" s="25" t="str">
        <f t="shared" si="0"/>
        <v>128</v>
      </c>
      <c r="D12" s="25" t="str">
        <f t="shared" si="1"/>
        <v>112000</v>
      </c>
      <c r="E12" s="25" t="s">
        <v>31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>
        <f>-VLOOKUP(B:B,'[3]דוח כספי 10.17 מעודכן'!A:D,4,0)</f>
        <v>76422.11</v>
      </c>
      <c r="R12" s="26">
        <f>VLOOKUP(B:B,'[3]תקבולים 2017'!B:T,17,0)</f>
        <v>0</v>
      </c>
      <c r="S12" s="26">
        <f t="shared" si="2"/>
        <v>91706.532000000007</v>
      </c>
      <c r="T12" s="27">
        <v>0</v>
      </c>
      <c r="U12" s="12"/>
      <c r="V12" s="22"/>
      <c r="W12" s="23">
        <f t="shared" si="3"/>
        <v>-76422.11</v>
      </c>
      <c r="X12" s="5" t="s">
        <v>25</v>
      </c>
    </row>
    <row r="13" spans="1:24" ht="24.95" hidden="1" customHeight="1">
      <c r="A13" s="1">
        <v>1</v>
      </c>
      <c r="B13" s="24">
        <v>1112000129</v>
      </c>
      <c r="C13" s="25" t="str">
        <f t="shared" si="0"/>
        <v>129</v>
      </c>
      <c r="D13" s="25" t="str">
        <f t="shared" si="1"/>
        <v>112000</v>
      </c>
      <c r="E13" s="25" t="s">
        <v>32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>
        <f>-VLOOKUP(B:B,'[3]דוח כספי 31.10'!A:J,9,0)</f>
        <v>0</v>
      </c>
      <c r="Q13" s="26">
        <f>-VLOOKUP(B:B,'[3]דוח כספי 10.17 מעודכן'!A:D,4,0)</f>
        <v>82740.92</v>
      </c>
      <c r="R13" s="26">
        <f>VLOOKUP(B:B,'[3]תקבולים 2017'!B:T,17,0)</f>
        <v>0</v>
      </c>
      <c r="S13" s="26">
        <f t="shared" si="2"/>
        <v>99289.104000000007</v>
      </c>
      <c r="T13" s="27">
        <v>0</v>
      </c>
      <c r="U13" s="12"/>
      <c r="V13" s="22"/>
      <c r="W13" s="23">
        <f t="shared" si="3"/>
        <v>-82740.92</v>
      </c>
      <c r="X13" s="5" t="s">
        <v>25</v>
      </c>
    </row>
    <row r="14" spans="1:24" ht="24.95" hidden="1" customHeight="1">
      <c r="A14" s="1">
        <v>1</v>
      </c>
      <c r="B14" s="24">
        <v>1112000130</v>
      </c>
      <c r="C14" s="25" t="str">
        <f t="shared" si="0"/>
        <v>130</v>
      </c>
      <c r="D14" s="25" t="str">
        <f t="shared" si="1"/>
        <v>112000</v>
      </c>
      <c r="E14" s="25" t="s">
        <v>33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>
        <f>-VLOOKUP(B:B,'[3]דוח כספי 31.10'!A:J,9,0)</f>
        <v>0</v>
      </c>
      <c r="Q14" s="26">
        <f>-VLOOKUP(B:B,'[3]דוח כספי 10.17 מעודכן'!A:D,4,0)</f>
        <v>456559.37</v>
      </c>
      <c r="R14" s="26">
        <f>VLOOKUP(B:B,'[3]תקבולים 2017'!B:T,17,0)</f>
        <v>0</v>
      </c>
      <c r="S14" s="26">
        <f t="shared" si="2"/>
        <v>547871.24399999995</v>
      </c>
      <c r="T14" s="27">
        <v>0</v>
      </c>
      <c r="U14" s="12"/>
      <c r="V14" s="22"/>
      <c r="W14" s="23">
        <f t="shared" si="3"/>
        <v>-456559.37</v>
      </c>
      <c r="X14" s="5" t="s">
        <v>25</v>
      </c>
    </row>
    <row r="15" spans="1:24" ht="24.95" customHeight="1">
      <c r="A15" s="1">
        <v>2</v>
      </c>
      <c r="B15" s="18">
        <v>1115000100</v>
      </c>
      <c r="C15" s="19" t="str">
        <f t="shared" si="0"/>
        <v>100</v>
      </c>
      <c r="D15" s="19" t="str">
        <f t="shared" si="1"/>
        <v>115000</v>
      </c>
      <c r="E15" s="19" t="s">
        <v>34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>
        <f>VLOOKUP(B:B,'[3]תקבולים 2017'!B:R,15,0)</f>
        <v>2556000</v>
      </c>
      <c r="Q15" s="20">
        <f>-VLOOKUP(B:B,'[3]דוח כספי 10.17 מעודכן'!A:D,4,0)</f>
        <v>1256699.5</v>
      </c>
      <c r="R15" s="20">
        <f>VLOOKUP(B:B,'[3]תקבולים 2017'!B:T,17,0)</f>
        <v>3360000</v>
      </c>
      <c r="S15" s="20">
        <f t="shared" si="2"/>
        <v>1508039.4</v>
      </c>
      <c r="T15" s="21">
        <v>3360000</v>
      </c>
      <c r="U15" s="12"/>
      <c r="V15" s="22"/>
      <c r="W15" s="23">
        <f t="shared" si="3"/>
        <v>1299300.5</v>
      </c>
    </row>
    <row r="16" spans="1:24" ht="24.95" customHeight="1">
      <c r="B16" s="28"/>
      <c r="C16" s="29"/>
      <c r="D16" s="29"/>
      <c r="E16" s="29" t="s">
        <v>35</v>
      </c>
      <c r="F16" s="30">
        <f t="shared" ref="F16:O16" si="4">SUM(F4:F14)</f>
        <v>6820000</v>
      </c>
      <c r="G16" s="30">
        <f t="shared" si="4"/>
        <v>5594000</v>
      </c>
      <c r="H16" s="30">
        <f t="shared" si="4"/>
        <v>6474000</v>
      </c>
      <c r="I16" s="30">
        <f t="shared" si="4"/>
        <v>7100000</v>
      </c>
      <c r="J16" s="30" t="e">
        <f t="shared" si="4"/>
        <v>#REF!</v>
      </c>
      <c r="K16" s="30" t="e">
        <f t="shared" si="4"/>
        <v>#REF!</v>
      </c>
      <c r="L16" s="30">
        <f t="shared" si="4"/>
        <v>6800000</v>
      </c>
      <c r="M16" s="30">
        <f t="shared" si="4"/>
        <v>6800000</v>
      </c>
      <c r="N16" s="30">
        <f t="shared" si="4"/>
        <v>7000000</v>
      </c>
      <c r="O16" s="30">
        <f t="shared" si="4"/>
        <v>4670000</v>
      </c>
      <c r="P16" s="30">
        <f>SUM(P4:P15)</f>
        <v>9447000</v>
      </c>
      <c r="Q16" s="30">
        <f>SUM(Q4:Q15)</f>
        <v>5688661.4999999991</v>
      </c>
      <c r="R16" s="30">
        <f t="shared" ref="R16" si="5">SUM(R4:R15)</f>
        <v>9710000</v>
      </c>
      <c r="S16" s="30">
        <f>SUM(S4:S15)</f>
        <v>6826393.7999999989</v>
      </c>
      <c r="T16" s="31">
        <f>SUM(T4:T15)</f>
        <v>9920000</v>
      </c>
      <c r="U16" s="12">
        <f>IF(ISBLANK(B16),1,--OR(L16&gt;1,M16&gt;1,N16&gt;1))</f>
        <v>1</v>
      </c>
      <c r="V16" s="22">
        <f>+Q16-N16</f>
        <v>-1311338.5000000009</v>
      </c>
      <c r="W16" s="23"/>
    </row>
    <row r="17" spans="1:24" ht="24.95" customHeight="1">
      <c r="A17" s="1">
        <v>3</v>
      </c>
      <c r="B17" s="18">
        <v>1121000290</v>
      </c>
      <c r="C17" s="19" t="str">
        <f>MID(B17,8,3)</f>
        <v>290</v>
      </c>
      <c r="D17" s="19" t="str">
        <f>MID(B17,2,6)</f>
        <v>121000</v>
      </c>
      <c r="E17" s="19" t="s">
        <v>36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>
        <f>VLOOKUP(B:B,'[3]תקבולים 2017'!B:R,15,0)</f>
        <v>3000</v>
      </c>
      <c r="Q17" s="20">
        <f>-VLOOKUP(B:B,'[3]דוח כספי 10.17 מעודכן'!A:D,4,0)</f>
        <v>1850</v>
      </c>
      <c r="R17" s="20">
        <f>VLOOKUP(B:B,'[3]תקבולים 2017'!B:T,17,0)</f>
        <v>2000</v>
      </c>
      <c r="S17" s="20">
        <f t="shared" ref="S17:S26" si="6">Q17/10*12</f>
        <v>2220</v>
      </c>
      <c r="T17" s="21">
        <v>2000</v>
      </c>
      <c r="U17" s="12"/>
      <c r="V17" s="22"/>
      <c r="W17" s="23">
        <f t="shared" ref="W17:W26" si="7">P17-Q17</f>
        <v>1150</v>
      </c>
    </row>
    <row r="18" spans="1:24" ht="24.95" customHeight="1">
      <c r="A18" s="1">
        <v>3</v>
      </c>
      <c r="B18" s="18">
        <v>1125000290</v>
      </c>
      <c r="C18" s="19" t="str">
        <f>MID(B18,8,3)</f>
        <v>290</v>
      </c>
      <c r="D18" s="19" t="str">
        <f>MID(B18,2,6)</f>
        <v>125000</v>
      </c>
      <c r="E18" s="19" t="s">
        <v>37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>
        <f>VLOOKUP(B:B,'[3]תקבולים 2017'!B:R,15,0)</f>
        <v>108000</v>
      </c>
      <c r="Q18" s="20">
        <f>-VLOOKUP(B:B,'[3]דוח כספי 10.17 מעודכן'!A:D,4,0)</f>
        <v>77973.460000000006</v>
      </c>
      <c r="R18" s="20">
        <f>VLOOKUP(B:B,'[3]תקבולים 2017'!B:T,17,0)</f>
        <v>71000</v>
      </c>
      <c r="S18" s="20">
        <f t="shared" si="6"/>
        <v>93568.152000000002</v>
      </c>
      <c r="T18" s="21">
        <v>80000</v>
      </c>
      <c r="U18" s="12"/>
      <c r="V18" s="22"/>
      <c r="W18" s="23">
        <f t="shared" si="7"/>
        <v>30026.539999999994</v>
      </c>
    </row>
    <row r="19" spans="1:24" ht="24.95" customHeight="1">
      <c r="A19" s="1">
        <v>3</v>
      </c>
      <c r="B19" s="18">
        <v>1129000290</v>
      </c>
      <c r="C19" s="19" t="str">
        <f>MID(B19,8,3)</f>
        <v>290</v>
      </c>
      <c r="D19" s="19" t="str">
        <f>MID(B19,2,6)</f>
        <v>129000</v>
      </c>
      <c r="E19" s="19" t="s">
        <v>38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>
        <f>VLOOKUP(B:B,'[3]תקבולים 2017'!B:R,15,0)</f>
        <v>284000</v>
      </c>
      <c r="Q19" s="20">
        <f>-VLOOKUP(B:B,'[3]דוח כספי 10.17 מעודכן'!A:D,4,0)</f>
        <v>136650.03</v>
      </c>
      <c r="R19" s="20">
        <f>VLOOKUP(B:B,'[3]תקבולים 2017'!B:T,17,0)</f>
        <v>180000</v>
      </c>
      <c r="S19" s="20">
        <f t="shared" si="6"/>
        <v>163980.03600000002</v>
      </c>
      <c r="T19" s="21">
        <v>200000</v>
      </c>
      <c r="U19" s="12"/>
      <c r="V19" s="22"/>
      <c r="W19" s="23">
        <f t="shared" si="7"/>
        <v>147349.97</v>
      </c>
    </row>
    <row r="20" spans="1:24" ht="15">
      <c r="A20" s="1">
        <v>3</v>
      </c>
      <c r="B20" s="18">
        <v>1129200290</v>
      </c>
      <c r="C20" s="19" t="str">
        <f>MID(B20,8,3)</f>
        <v>290</v>
      </c>
      <c r="D20" s="19" t="str">
        <f>MID(B20,2,6)</f>
        <v>129200</v>
      </c>
      <c r="E20" s="19" t="s">
        <v>39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>
        <v>302000</v>
      </c>
      <c r="Q20" s="20">
        <f>-VLOOKUP(B:B,'[3]דוח כספי 10.17 מעודכן'!A:D,4,0)</f>
        <v>161006.24</v>
      </c>
      <c r="R20" s="20">
        <v>211000</v>
      </c>
      <c r="S20" s="20">
        <f t="shared" si="6"/>
        <v>193207.48800000001</v>
      </c>
      <c r="T20" s="21">
        <v>220000</v>
      </c>
      <c r="U20" s="12"/>
      <c r="V20" s="22"/>
      <c r="W20" s="23">
        <f t="shared" si="7"/>
        <v>140993.76</v>
      </c>
    </row>
    <row r="21" spans="1:24" ht="15">
      <c r="A21" s="1">
        <v>3</v>
      </c>
      <c r="B21" s="18"/>
      <c r="C21" s="19"/>
      <c r="D21" s="19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1"/>
      <c r="U21" s="12"/>
      <c r="V21" s="22"/>
      <c r="W21" s="23">
        <f t="shared" si="7"/>
        <v>0</v>
      </c>
    </row>
    <row r="22" spans="1:24" ht="24.95" customHeight="1">
      <c r="A22" s="1">
        <v>3</v>
      </c>
      <c r="B22" s="18">
        <v>1129300290</v>
      </c>
      <c r="C22" s="19" t="str">
        <f>MID(B22,8,3)</f>
        <v>290</v>
      </c>
      <c r="D22" s="19" t="str">
        <f>MID(B22,2,6)</f>
        <v>129300</v>
      </c>
      <c r="E22" s="19" t="s">
        <v>40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>
        <f>VLOOKUP(B:B,'[3]תקבולים 2017'!B:R,15,0)</f>
        <v>68000</v>
      </c>
      <c r="Q22" s="20">
        <f>-VLOOKUP(B:B,'[3]דוח כספי 10.17 מעודכן'!A:D,4,0)</f>
        <v>93562.240000000005</v>
      </c>
      <c r="R22" s="20">
        <v>232000</v>
      </c>
      <c r="S22" s="20">
        <f t="shared" si="6"/>
        <v>112274.68799999999</v>
      </c>
      <c r="T22" s="21">
        <v>150000</v>
      </c>
      <c r="U22" s="12"/>
      <c r="V22" s="22"/>
      <c r="W22" s="23">
        <f t="shared" si="7"/>
        <v>-25562.240000000005</v>
      </c>
    </row>
    <row r="23" spans="1:24" ht="24.95" customHeight="1">
      <c r="A23" s="1">
        <v>3</v>
      </c>
      <c r="B23" s="18">
        <v>1129400290</v>
      </c>
      <c r="C23" s="19" t="str">
        <f>MID(B23,8,3)</f>
        <v>290</v>
      </c>
      <c r="D23" s="19" t="str">
        <f>MID(B23,2,6)</f>
        <v>129400</v>
      </c>
      <c r="E23" s="19" t="s">
        <v>41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>
        <f>VLOOKUP(B:B,'[3]תקבולים 2017'!B:R,15,0)</f>
        <v>32000</v>
      </c>
      <c r="Q23" s="20">
        <f>-VLOOKUP(B:B,'[3]דוח כספי 10.17 מעודכן'!A:D,4,0)</f>
        <v>79500</v>
      </c>
      <c r="R23" s="20">
        <f>VLOOKUP(B:B,'[3]תקבולים 2017'!B:T,17,0)</f>
        <v>102000</v>
      </c>
      <c r="S23" s="20">
        <f t="shared" si="6"/>
        <v>95400</v>
      </c>
      <c r="T23" s="21">
        <v>105000</v>
      </c>
      <c r="U23" s="12"/>
      <c r="V23" s="22"/>
      <c r="W23" s="23">
        <f t="shared" si="7"/>
        <v>-47500</v>
      </c>
    </row>
    <row r="24" spans="1:24" ht="24.95" customHeight="1">
      <c r="A24" s="1">
        <v>3</v>
      </c>
      <c r="B24" s="18">
        <v>1129500290</v>
      </c>
      <c r="C24" s="19" t="str">
        <f>MID(B24,8,3)</f>
        <v>290</v>
      </c>
      <c r="D24" s="19" t="str">
        <f>MID(B24,2,6)</f>
        <v>129500</v>
      </c>
      <c r="E24" s="19" t="s">
        <v>42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>
        <f>VLOOKUP(B:B,'[3]תקבולים 2017'!B:R,15,0)</f>
        <v>16000</v>
      </c>
      <c r="Q24" s="20">
        <f>-VLOOKUP(B:B,'[3]דוח כספי 10.17 מעודכן'!A:D,4,0)</f>
        <v>16269.88</v>
      </c>
      <c r="R24" s="20">
        <f>VLOOKUP(B:B,'[3]תקבולים 2017'!B:T,17,0)</f>
        <v>18000</v>
      </c>
      <c r="S24" s="20">
        <f t="shared" si="6"/>
        <v>19523.856</v>
      </c>
      <c r="T24" s="21">
        <v>20000</v>
      </c>
      <c r="U24" s="12"/>
      <c r="V24" s="22"/>
      <c r="W24" s="23">
        <f t="shared" si="7"/>
        <v>-269.8799999999992</v>
      </c>
    </row>
    <row r="25" spans="1:24" ht="24.95" customHeight="1">
      <c r="A25" s="1">
        <v>3</v>
      </c>
      <c r="B25" s="18">
        <v>1129600290</v>
      </c>
      <c r="C25" s="19" t="str">
        <f>MID(B25,8,3)</f>
        <v>290</v>
      </c>
      <c r="D25" s="19" t="str">
        <f>MID(B25,2,6)</f>
        <v>129600</v>
      </c>
      <c r="E25" s="19" t="s">
        <v>43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>
        <f>VLOOKUP(B:B,'[3]תקבולים 2017'!B:R,15,0)</f>
        <v>155000</v>
      </c>
      <c r="Q25" s="20">
        <f>-VLOOKUP(B:B,'[3]דוח כספי 10.17 מעודכן'!A:D,4,0)</f>
        <v>140765.07</v>
      </c>
      <c r="R25" s="20">
        <f>VLOOKUP(B:B,'[3]תקבולים 2017'!B:T,17,0)</f>
        <v>174000</v>
      </c>
      <c r="S25" s="20">
        <f t="shared" si="6"/>
        <v>168918.08400000003</v>
      </c>
      <c r="T25" s="21">
        <v>175000</v>
      </c>
      <c r="U25" s="12">
        <f>IF(ISBLANK(B25),1,--OR(L25&gt;1,M25&gt;1,N25&gt;1))</f>
        <v>0</v>
      </c>
      <c r="W25" s="23">
        <f t="shared" si="7"/>
        <v>14234.929999999993</v>
      </c>
    </row>
    <row r="26" spans="1:24" ht="24.95" hidden="1" customHeight="1">
      <c r="A26" s="1">
        <v>3</v>
      </c>
      <c r="B26" s="24">
        <v>1129610290</v>
      </c>
      <c r="C26" s="25" t="str">
        <f>MID(B26,8,3)</f>
        <v>290</v>
      </c>
      <c r="D26" s="25" t="str">
        <f>MID(B26,2,6)</f>
        <v>129610</v>
      </c>
      <c r="E26" s="25" t="s">
        <v>44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>
        <f>VLOOKUP(B:B,'[3]תקבולים 2017'!B:R,15,0)</f>
        <v>0</v>
      </c>
      <c r="Q26" s="26">
        <f>-VLOOKUP(B:B,'[3]דוח כספי 10.17 מעודכן'!A:D,4,0)</f>
        <v>112269</v>
      </c>
      <c r="R26" s="26"/>
      <c r="S26" s="26">
        <f t="shared" si="6"/>
        <v>134722.79999999999</v>
      </c>
      <c r="T26" s="27">
        <v>0</v>
      </c>
      <c r="U26" s="12"/>
      <c r="V26" s="22"/>
      <c r="W26" s="23">
        <f t="shared" si="7"/>
        <v>-112269</v>
      </c>
      <c r="X26" s="5" t="s">
        <v>45</v>
      </c>
    </row>
    <row r="27" spans="1:24" ht="24.95" customHeight="1">
      <c r="A27" s="1">
        <v>3</v>
      </c>
      <c r="B27" s="18">
        <v>1129700290</v>
      </c>
      <c r="C27" s="19" t="s">
        <v>46</v>
      </c>
      <c r="D27" s="19" t="s">
        <v>47</v>
      </c>
      <c r="E27" s="19" t="s">
        <v>48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>
        <f>VLOOKUP(B:B,'[3]תקבולים 2017'!B:R,15,0)</f>
        <v>136000</v>
      </c>
      <c r="Q27" s="20">
        <f>-VLOOKUP(B:B,'[3]דוח כספי 10.17 מעודכן'!A:D,4,0)</f>
        <v>93272.93</v>
      </c>
      <c r="R27" s="20">
        <f>VLOOKUP(B:B,'[3]תקבולים 2017'!B:T,17,0)</f>
        <v>120000</v>
      </c>
      <c r="S27" s="20">
        <v>120000</v>
      </c>
      <c r="T27" s="21">
        <v>120000</v>
      </c>
      <c r="U27" s="12"/>
      <c r="W27" s="23">
        <v>36000</v>
      </c>
    </row>
    <row r="28" spans="1:24" ht="24.95" hidden="1" customHeight="1">
      <c r="A28" s="1">
        <v>3</v>
      </c>
      <c r="B28" s="18">
        <v>1129800290</v>
      </c>
      <c r="C28" s="19" t="s">
        <v>46</v>
      </c>
      <c r="D28" s="19" t="s">
        <v>49</v>
      </c>
      <c r="E28" s="19" t="s">
        <v>50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>
        <f>VLOOKUP(B:B,'[3]תקבולים 2017'!B:R,15,0)</f>
        <v>0</v>
      </c>
      <c r="Q28" s="20">
        <f>-VLOOKUP(B:B,'[3]דוח כספי 10.17 מעודכן'!A:D,4,0)</f>
        <v>7360</v>
      </c>
      <c r="R28" s="20">
        <f>VLOOKUP(B:B,'[3]תקבולים 2017'!B:T,17,0)</f>
        <v>0</v>
      </c>
      <c r="S28" s="20">
        <v>8832</v>
      </c>
      <c r="T28" s="21"/>
      <c r="U28" s="12"/>
      <c r="W28" s="23">
        <v>-7360</v>
      </c>
    </row>
    <row r="29" spans="1:24" ht="24.95" hidden="1" customHeight="1">
      <c r="A29" s="1">
        <v>3</v>
      </c>
      <c r="B29" s="18">
        <v>1129900290</v>
      </c>
      <c r="C29" s="19" t="str">
        <f>MID(B29,8,3)</f>
        <v>290</v>
      </c>
      <c r="D29" s="19" t="str">
        <f>MID(B29,2,6)</f>
        <v>129900</v>
      </c>
      <c r="E29" s="19" t="s">
        <v>51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>
        <f>VLOOKUP(B:B,'[3]תקבולים 2017'!B:R,15,0)</f>
        <v>0</v>
      </c>
      <c r="Q29" s="20">
        <f>-VLOOKUP(B:B,'[3]דוח כספי 10.17 מעודכן'!A:D,4,0)</f>
        <v>0</v>
      </c>
      <c r="R29" s="20">
        <f>VLOOKUP(B:B,'[3]תקבולים 2017'!B:T,17,0)</f>
        <v>0</v>
      </c>
      <c r="S29" s="20">
        <f>Q29/10*12</f>
        <v>0</v>
      </c>
      <c r="T29" s="21">
        <v>0</v>
      </c>
      <c r="U29" s="12"/>
      <c r="W29" s="23"/>
    </row>
    <row r="30" spans="1:24" ht="24.95" customHeight="1">
      <c r="A30" s="1">
        <v>3</v>
      </c>
      <c r="B30" s="18">
        <v>1131690290</v>
      </c>
      <c r="C30" s="19" t="s">
        <v>46</v>
      </c>
      <c r="D30" s="19" t="s">
        <v>52</v>
      </c>
      <c r="E30" s="19" t="s">
        <v>53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>
        <f>VLOOKUP(B:B,'[3]תקבולים 2017'!B:R,15,0)</f>
        <v>0</v>
      </c>
      <c r="Q30" s="20">
        <f>-VLOOKUP(B:B,'[3]דוח כספי 10.17 מעודכן'!A:D,4,0)</f>
        <v>0</v>
      </c>
      <c r="R30" s="20">
        <f>VLOOKUP(B:B,'[3]תקבולים 2017'!B:T,17,0)</f>
        <v>0</v>
      </c>
      <c r="S30" s="20">
        <v>0</v>
      </c>
      <c r="T30" s="21">
        <v>250000</v>
      </c>
      <c r="U30" s="12"/>
      <c r="W30" s="23">
        <v>0</v>
      </c>
    </row>
    <row r="31" spans="1:24" ht="24.95" customHeight="1">
      <c r="A31" s="1">
        <v>3</v>
      </c>
      <c r="B31" s="18">
        <v>1157000690</v>
      </c>
      <c r="C31" s="19" t="str">
        <f>MID(B31,8,3)</f>
        <v>690</v>
      </c>
      <c r="D31" s="19" t="str">
        <f>MID(B31,2,6)</f>
        <v>157000</v>
      </c>
      <c r="E31" s="19" t="s">
        <v>54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>
        <f>VLOOKUP(B:B,'[3]תקבולים 2017'!B:R,15,0)</f>
        <v>15000</v>
      </c>
      <c r="Q31" s="20">
        <f>-VLOOKUP(B:B,'[3]דוח כספי 10.17 מעודכן'!A:D,4,0)</f>
        <v>30959</v>
      </c>
      <c r="R31" s="20">
        <f>VLOOKUP(B:B,'[3]תקבולים 2017'!B:T,17,0)</f>
        <v>35000</v>
      </c>
      <c r="S31" s="20">
        <f>Q31/10*12</f>
        <v>37150.800000000003</v>
      </c>
      <c r="T31" s="21">
        <v>38000</v>
      </c>
      <c r="U31" s="12"/>
      <c r="W31" s="23"/>
    </row>
    <row r="32" spans="1:24" ht="24.95" hidden="1" customHeight="1">
      <c r="A32" s="1">
        <v>3</v>
      </c>
      <c r="B32" s="18">
        <v>1157000740</v>
      </c>
      <c r="C32" s="19" t="str">
        <f>MID(B32,8,3)</f>
        <v>740</v>
      </c>
      <c r="D32" s="19" t="str">
        <f>MID(B32,2,6)</f>
        <v>157000</v>
      </c>
      <c r="E32" s="19" t="s">
        <v>55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>
        <f>VLOOKUP(B:B,'[3]תקבולים 2017'!B:R,15,0)</f>
        <v>0</v>
      </c>
      <c r="Q32" s="20">
        <f>-VLOOKUP(B:B,'[3]דוח כספי 10.17 מעודכן'!A:D,4,0)</f>
        <v>0</v>
      </c>
      <c r="R32" s="20">
        <f>VLOOKUP(B:B,'[3]תקבולים 2017'!B:T,17,0)</f>
        <v>0</v>
      </c>
      <c r="S32" s="20">
        <f>Q32/10*12</f>
        <v>0</v>
      </c>
      <c r="T32" s="21">
        <v>0</v>
      </c>
      <c r="U32" s="12"/>
      <c r="W32" s="23"/>
    </row>
    <row r="33" spans="1:23" ht="24.95" hidden="1" customHeight="1">
      <c r="A33" s="1">
        <v>3</v>
      </c>
      <c r="B33" s="18">
        <v>1160000290</v>
      </c>
      <c r="C33" s="19" t="str">
        <f>MID(B33,8,3)</f>
        <v>290</v>
      </c>
      <c r="D33" s="19" t="str">
        <f>MID(B33,2,6)</f>
        <v>160000</v>
      </c>
      <c r="E33" s="19" t="s">
        <v>56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>
        <f>VLOOKUP(B:B,'[3]תקבולים 2017'!B:R,15,0)</f>
        <v>0</v>
      </c>
      <c r="Q33" s="20">
        <f>-VLOOKUP(B:B,'[3]דוח כספי 10.17 מעודכן'!A:D,4,0)</f>
        <v>0.48</v>
      </c>
      <c r="R33" s="20">
        <f>VLOOKUP(B:B,'[3]תקבולים 2017'!B:T,17,0)</f>
        <v>0</v>
      </c>
      <c r="S33" s="20">
        <f>Q33/10*12</f>
        <v>0.57600000000000007</v>
      </c>
      <c r="T33" s="21">
        <v>0</v>
      </c>
      <c r="U33" s="12"/>
      <c r="W33" s="23"/>
    </row>
    <row r="34" spans="1:23" ht="24.95" customHeight="1">
      <c r="B34" s="28"/>
      <c r="C34" s="29"/>
      <c r="D34" s="29"/>
      <c r="E34" s="29" t="s">
        <v>57</v>
      </c>
      <c r="F34" s="30">
        <f t="shared" ref="F34:O34" si="8">SUM(F24:F24)</f>
        <v>0</v>
      </c>
      <c r="G34" s="30">
        <f t="shared" si="8"/>
        <v>0</v>
      </c>
      <c r="H34" s="30">
        <f t="shared" si="8"/>
        <v>0</v>
      </c>
      <c r="I34" s="30">
        <f t="shared" si="8"/>
        <v>0</v>
      </c>
      <c r="J34" s="30">
        <f t="shared" si="8"/>
        <v>0</v>
      </c>
      <c r="K34" s="30">
        <f t="shared" si="8"/>
        <v>0</v>
      </c>
      <c r="L34" s="30">
        <f t="shared" si="8"/>
        <v>0</v>
      </c>
      <c r="M34" s="30">
        <f t="shared" si="8"/>
        <v>0</v>
      </c>
      <c r="N34" s="30">
        <f t="shared" si="8"/>
        <v>0</v>
      </c>
      <c r="O34" s="30">
        <f t="shared" si="8"/>
        <v>0</v>
      </c>
      <c r="P34" s="30">
        <f>SUM(P17:P33)</f>
        <v>1119000</v>
      </c>
      <c r="Q34" s="30">
        <f>SUM(Q17:Q33)</f>
        <v>951438.32999999984</v>
      </c>
      <c r="R34" s="30">
        <f>SUM(R17:R33)</f>
        <v>1145000</v>
      </c>
      <c r="S34" s="30">
        <f>SUM(S17:S33)</f>
        <v>1149798.48</v>
      </c>
      <c r="T34" s="31">
        <f>SUM(T17:T33)</f>
        <v>1360000</v>
      </c>
      <c r="U34" s="12">
        <f t="shared" ref="U34:U39" si="9">IF(ISBLANK(B34),1,--OR(L34&gt;1,M34&gt;1,N34&gt;1))</f>
        <v>1</v>
      </c>
      <c r="V34" s="22">
        <f t="shared" ref="V34:V39" si="10">+Q34-N34</f>
        <v>951438.32999999984</v>
      </c>
      <c r="W34" s="23"/>
    </row>
    <row r="35" spans="1:23" ht="24.95" customHeight="1">
      <c r="B35" s="32"/>
      <c r="C35" s="33"/>
      <c r="D35" s="33"/>
      <c r="E35" s="33" t="s">
        <v>58</v>
      </c>
      <c r="F35" s="34">
        <f t="shared" ref="F35:T35" si="11">F34+F16</f>
        <v>6820000</v>
      </c>
      <c r="G35" s="34">
        <f t="shared" si="11"/>
        <v>5594000</v>
      </c>
      <c r="H35" s="34">
        <f t="shared" si="11"/>
        <v>6474000</v>
      </c>
      <c r="I35" s="34">
        <f t="shared" si="11"/>
        <v>7100000</v>
      </c>
      <c r="J35" s="34" t="e">
        <f t="shared" si="11"/>
        <v>#REF!</v>
      </c>
      <c r="K35" s="34" t="e">
        <f t="shared" si="11"/>
        <v>#REF!</v>
      </c>
      <c r="L35" s="34">
        <f t="shared" si="11"/>
        <v>6800000</v>
      </c>
      <c r="M35" s="34">
        <f t="shared" si="11"/>
        <v>6800000</v>
      </c>
      <c r="N35" s="34">
        <f t="shared" si="11"/>
        <v>7000000</v>
      </c>
      <c r="O35" s="34">
        <f t="shared" si="11"/>
        <v>4670000</v>
      </c>
      <c r="P35" s="34">
        <f t="shared" si="11"/>
        <v>10566000</v>
      </c>
      <c r="Q35" s="34">
        <f t="shared" si="11"/>
        <v>6640099.8299999991</v>
      </c>
      <c r="R35" s="34">
        <f t="shared" si="11"/>
        <v>10855000</v>
      </c>
      <c r="S35" s="34">
        <f t="shared" si="11"/>
        <v>7976192.2799999993</v>
      </c>
      <c r="T35" s="35">
        <f t="shared" si="11"/>
        <v>11280000</v>
      </c>
      <c r="U35" s="12">
        <f t="shared" si="9"/>
        <v>1</v>
      </c>
      <c r="V35" s="22">
        <f t="shared" si="10"/>
        <v>-359900.17000000086</v>
      </c>
      <c r="W35" s="23"/>
    </row>
    <row r="36" spans="1:23" ht="24.95" customHeight="1">
      <c r="B36" s="36"/>
      <c r="C36" s="228" t="s">
        <v>59</v>
      </c>
      <c r="D36" s="228"/>
      <c r="E36" s="37"/>
      <c r="F36" s="37"/>
      <c r="G36" s="37"/>
      <c r="H36" s="37"/>
      <c r="I36" s="38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1"/>
      <c r="U36" s="12">
        <f t="shared" si="9"/>
        <v>1</v>
      </c>
      <c r="V36" s="22">
        <f t="shared" si="10"/>
        <v>0</v>
      </c>
      <c r="W36" s="23">
        <f>P36-Q36</f>
        <v>0</v>
      </c>
    </row>
    <row r="37" spans="1:23" ht="24.95" customHeight="1">
      <c r="A37" s="1">
        <v>4</v>
      </c>
      <c r="B37" s="18">
        <v>1190000910</v>
      </c>
      <c r="C37" s="19" t="str">
        <f>MID(B37,8,3)</f>
        <v>910</v>
      </c>
      <c r="D37" s="19" t="str">
        <f>MID(B37,2,6)</f>
        <v>190000</v>
      </c>
      <c r="E37" s="19" t="s">
        <v>59</v>
      </c>
      <c r="F37" s="20">
        <v>9964550</v>
      </c>
      <c r="G37" s="20">
        <v>8240000</v>
      </c>
      <c r="H37" s="20">
        <v>10038710</v>
      </c>
      <c r="I37" s="20">
        <f>H37</f>
        <v>10038710</v>
      </c>
      <c r="J37" s="20">
        <f>10241423*0.583333333333333</f>
        <v>5974163.4166666633</v>
      </c>
      <c r="K37" s="20">
        <f>+J37*1.71428571428571</f>
        <v>10241422.999999968</v>
      </c>
      <c r="L37" s="20">
        <v>10241423</v>
      </c>
      <c r="M37" s="20">
        <v>10241000</v>
      </c>
      <c r="N37" s="20">
        <v>10241000</v>
      </c>
      <c r="O37" s="20">
        <v>6829000</v>
      </c>
      <c r="P37" s="20">
        <f>VLOOKUP(B:B,'[3]תקבולים 2017'!B:R,15,0)</f>
        <v>9992000</v>
      </c>
      <c r="Q37" s="20">
        <f>-VLOOKUP(B:B,'[3]דוח כספי 10.17 מעודכן'!A:D,4,0)</f>
        <v>9743365.0899999999</v>
      </c>
      <c r="R37" s="20">
        <f>VLOOKUP(B:B,'[3]תקבולים 2017'!B:T,17,0)</f>
        <v>12936000</v>
      </c>
      <c r="S37" s="20">
        <f>Q37/10*12</f>
        <v>11692038.107999999</v>
      </c>
      <c r="T37" s="21">
        <v>13394000</v>
      </c>
      <c r="U37" s="12">
        <f t="shared" si="9"/>
        <v>1</v>
      </c>
      <c r="V37" s="22">
        <f t="shared" si="10"/>
        <v>-497634.91000000015</v>
      </c>
      <c r="W37" s="23">
        <f>P37-Q37</f>
        <v>248634.91000000015</v>
      </c>
    </row>
    <row r="38" spans="1:23" ht="24.95" customHeight="1">
      <c r="B38" s="28"/>
      <c r="C38" s="29"/>
      <c r="D38" s="29"/>
      <c r="E38" s="29" t="s">
        <v>60</v>
      </c>
      <c r="F38" s="30">
        <f>SUM(F37)</f>
        <v>9964550</v>
      </c>
      <c r="G38" s="30">
        <f>SUM(G37)</f>
        <v>8240000</v>
      </c>
      <c r="H38" s="30">
        <f>SUM(H37)</f>
        <v>10038710</v>
      </c>
      <c r="I38" s="30">
        <f>SUM(I37)</f>
        <v>10038710</v>
      </c>
      <c r="J38" s="30">
        <f>SUM(J37)</f>
        <v>5974163.4166666633</v>
      </c>
      <c r="K38" s="30">
        <f t="shared" ref="K38:O38" si="12">SUM(K37)</f>
        <v>10241422.999999968</v>
      </c>
      <c r="L38" s="30">
        <f t="shared" si="12"/>
        <v>10241423</v>
      </c>
      <c r="M38" s="30">
        <f t="shared" si="12"/>
        <v>10241000</v>
      </c>
      <c r="N38" s="30">
        <f t="shared" si="12"/>
        <v>10241000</v>
      </c>
      <c r="O38" s="30">
        <f t="shared" si="12"/>
        <v>6829000</v>
      </c>
      <c r="P38" s="30">
        <f>SUM(P37)</f>
        <v>9992000</v>
      </c>
      <c r="Q38" s="30">
        <f>SUM(Q37)</f>
        <v>9743365.0899999999</v>
      </c>
      <c r="R38" s="30">
        <f t="shared" ref="R38" si="13">SUM(R37)</f>
        <v>12936000</v>
      </c>
      <c r="S38" s="30">
        <f>SUM(S37)</f>
        <v>11692038.107999999</v>
      </c>
      <c r="T38" s="31">
        <f>SUM(T37)</f>
        <v>13394000</v>
      </c>
      <c r="U38" s="12">
        <f t="shared" si="9"/>
        <v>1</v>
      </c>
      <c r="V38" s="22">
        <f t="shared" si="10"/>
        <v>-497634.91000000015</v>
      </c>
      <c r="W38" s="23"/>
    </row>
    <row r="39" spans="1:23" ht="24.95" customHeight="1">
      <c r="B39" s="36"/>
      <c r="C39" s="228" t="s">
        <v>61</v>
      </c>
      <c r="D39" s="228"/>
      <c r="E39" s="37"/>
      <c r="F39" s="37"/>
      <c r="G39" s="37"/>
      <c r="H39" s="37"/>
      <c r="I39" s="38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1"/>
      <c r="U39" s="12">
        <f t="shared" si="9"/>
        <v>1</v>
      </c>
      <c r="V39" s="22">
        <f t="shared" si="10"/>
        <v>0</v>
      </c>
      <c r="W39" s="23">
        <f>P39-Q39</f>
        <v>0</v>
      </c>
    </row>
    <row r="40" spans="1:23" ht="24.95" hidden="1" customHeight="1">
      <c r="A40" s="1">
        <v>6</v>
      </c>
      <c r="B40" s="24">
        <v>1190000920</v>
      </c>
      <c r="C40" s="25" t="str">
        <f>MID(B40,8,3)</f>
        <v>920</v>
      </c>
      <c r="D40" s="25" t="str">
        <f>MID(B40,2,6)</f>
        <v>190000</v>
      </c>
      <c r="E40" s="25" t="s">
        <v>62</v>
      </c>
      <c r="F40" s="26"/>
      <c r="G40" s="26">
        <v>161696</v>
      </c>
      <c r="H40" s="26">
        <v>161696</v>
      </c>
      <c r="I40" s="26"/>
      <c r="J40" s="26">
        <f>2349000*0.583333333333333</f>
        <v>1370249.9999999993</v>
      </c>
      <c r="K40" s="26">
        <v>2349000</v>
      </c>
      <c r="L40" s="26">
        <v>2349000</v>
      </c>
      <c r="M40" s="26">
        <v>2249000</v>
      </c>
      <c r="N40" s="26">
        <v>2249000</v>
      </c>
      <c r="O40" s="26">
        <v>1499333</v>
      </c>
      <c r="P40" s="26">
        <f>VLOOKUP(B:B,'[3]תקבולים 2017'!B:R,15,0)</f>
        <v>0</v>
      </c>
      <c r="Q40" s="26">
        <f>-VLOOKUP(B:B,'[3]דוח כספי 10.17 מעודכן'!A:D,4,0)</f>
        <v>226425</v>
      </c>
      <c r="R40" s="26"/>
      <c r="S40" s="26">
        <v>226425</v>
      </c>
      <c r="T40" s="27">
        <v>0</v>
      </c>
      <c r="U40" s="12"/>
      <c r="V40" s="22"/>
      <c r="W40" s="23">
        <f>P40-Q40</f>
        <v>-226425</v>
      </c>
    </row>
    <row r="41" spans="1:23" ht="24.95" customHeight="1">
      <c r="A41" s="1">
        <v>6</v>
      </c>
      <c r="B41" s="18">
        <v>1191000910</v>
      </c>
      <c r="C41" s="19" t="str">
        <f>MID(B41,8,3)</f>
        <v>910</v>
      </c>
      <c r="D41" s="19" t="str">
        <f>MID(B41,2,6)</f>
        <v>191000</v>
      </c>
      <c r="E41" s="19" t="s">
        <v>63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>
        <f>VLOOKUP(B:B,'[3]תקבולים 2017'!B:R,15,0)</f>
        <v>298000</v>
      </c>
      <c r="Q41" s="20">
        <f>-VLOOKUP(B:B,'[3]דוח כספי 10.17 מעודכן'!A:D,4,0)</f>
        <v>0</v>
      </c>
      <c r="R41" s="20">
        <v>250000</v>
      </c>
      <c r="S41" s="20">
        <f>Q41/10*12</f>
        <v>0</v>
      </c>
      <c r="T41" s="21">
        <v>0</v>
      </c>
      <c r="U41" s="12"/>
      <c r="V41" s="22"/>
      <c r="W41" s="23">
        <f>P41-Q41</f>
        <v>298000</v>
      </c>
    </row>
    <row r="42" spans="1:23" ht="24.95" customHeight="1">
      <c r="A42" s="1">
        <v>6</v>
      </c>
      <c r="B42" s="24">
        <v>1191000920</v>
      </c>
      <c r="C42" s="25" t="str">
        <f>MID(B42,8,3)</f>
        <v>920</v>
      </c>
      <c r="D42" s="25" t="str">
        <f>MID(B42,2,6)</f>
        <v>191000</v>
      </c>
      <c r="E42" s="25" t="s">
        <v>64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>
        <v>0</v>
      </c>
      <c r="Q42" s="26">
        <v>0</v>
      </c>
      <c r="R42" s="26">
        <v>0</v>
      </c>
      <c r="S42" s="26">
        <v>0</v>
      </c>
      <c r="T42" s="27">
        <v>80000</v>
      </c>
      <c r="U42" s="12"/>
      <c r="V42" s="22"/>
      <c r="W42" s="23">
        <f>P42-Q42</f>
        <v>0</v>
      </c>
    </row>
    <row r="43" spans="1:23" ht="24.95" customHeight="1">
      <c r="A43" s="1">
        <v>6</v>
      </c>
      <c r="B43" s="18">
        <v>1196000910</v>
      </c>
      <c r="C43" s="19" t="str">
        <f>MID(B43,8,3)</f>
        <v>910</v>
      </c>
      <c r="D43" s="19" t="str">
        <f>MID(B43,2,6)</f>
        <v>196000</v>
      </c>
      <c r="E43" s="19" t="s">
        <v>65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>
        <f>VLOOKUP(B:B,'[3]תקבולים 2017'!B:R,15,0)</f>
        <v>1689000</v>
      </c>
      <c r="Q43" s="20">
        <f>-VLOOKUP(B:B,'[3]דוח כספי 10.17 מעודכן'!A:D,4,0)</f>
        <v>1689270.2</v>
      </c>
      <c r="R43" s="20">
        <f>VLOOKUP(B:B,'[3]תקבולים 2017'!B:T,17,0)</f>
        <v>1689000</v>
      </c>
      <c r="S43" s="20">
        <v>1689270.2</v>
      </c>
      <c r="T43" s="21">
        <v>705000</v>
      </c>
      <c r="U43" s="12"/>
      <c r="V43" s="22"/>
      <c r="W43" s="23"/>
    </row>
    <row r="44" spans="1:23" ht="24.95" hidden="1" customHeight="1">
      <c r="A44" s="1">
        <v>8</v>
      </c>
      <c r="B44" s="18">
        <v>1197000910</v>
      </c>
      <c r="C44" s="19" t="str">
        <f>MID(B44,8,3)</f>
        <v>910</v>
      </c>
      <c r="D44" s="19" t="str">
        <f>MID(B44,2,6)</f>
        <v>197000</v>
      </c>
      <c r="E44" s="19" t="s">
        <v>66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>
        <f>VLOOKUP(B:B,'[3]תקבולים 2017'!B:R,15,0)</f>
        <v>0</v>
      </c>
      <c r="Q44" s="20">
        <f>-VLOOKUP(B:B,'[3]דוח כספי 10.17 מעודכן'!A:D,4,0)</f>
        <v>0</v>
      </c>
      <c r="R44" s="20">
        <f>VLOOKUP(B:B,'[3]תקבולים 2017'!B:T,17,0)</f>
        <v>0</v>
      </c>
      <c r="S44" s="20">
        <f>Q44/10*12</f>
        <v>0</v>
      </c>
      <c r="T44" s="21">
        <v>0</v>
      </c>
      <c r="U44" s="12">
        <f>IF(ISBLANK(B44),1,--OR(L44&gt;1,M44&gt;1,N44&gt;1))</f>
        <v>0</v>
      </c>
      <c r="V44" s="22">
        <f>+Q44-N44</f>
        <v>0</v>
      </c>
      <c r="W44" s="23">
        <f>P44-Q44</f>
        <v>0</v>
      </c>
    </row>
    <row r="45" spans="1:23" ht="24.95" customHeight="1">
      <c r="B45" s="28"/>
      <c r="C45" s="29"/>
      <c r="D45" s="29"/>
      <c r="E45" s="29" t="s">
        <v>61</v>
      </c>
      <c r="F45" s="30">
        <f t="shared" ref="F45:O45" si="14">SUM(F44)</f>
        <v>0</v>
      </c>
      <c r="G45" s="30">
        <f t="shared" si="14"/>
        <v>0</v>
      </c>
      <c r="H45" s="30">
        <f t="shared" si="14"/>
        <v>0</v>
      </c>
      <c r="I45" s="30">
        <f t="shared" si="14"/>
        <v>0</v>
      </c>
      <c r="J45" s="30">
        <f t="shared" si="14"/>
        <v>0</v>
      </c>
      <c r="K45" s="30">
        <f t="shared" si="14"/>
        <v>0</v>
      </c>
      <c r="L45" s="30">
        <f t="shared" si="14"/>
        <v>0</v>
      </c>
      <c r="M45" s="30">
        <f t="shared" si="14"/>
        <v>0</v>
      </c>
      <c r="N45" s="30">
        <f t="shared" si="14"/>
        <v>0</v>
      </c>
      <c r="O45" s="30">
        <f t="shared" si="14"/>
        <v>0</v>
      </c>
      <c r="P45" s="30">
        <f t="shared" ref="P45:Q45" si="15">SUM(P40:P44)</f>
        <v>1987000</v>
      </c>
      <c r="Q45" s="30">
        <f t="shared" si="15"/>
        <v>1915695.2</v>
      </c>
      <c r="R45" s="30">
        <f t="shared" ref="R45" si="16">SUM(R40:R44)</f>
        <v>1939000</v>
      </c>
      <c r="S45" s="30">
        <f>SUM(S40:S44)</f>
        <v>1915695.2</v>
      </c>
      <c r="T45" s="31">
        <f>SUM(T40:T44)</f>
        <v>785000</v>
      </c>
      <c r="U45" s="12">
        <f>IF(ISBLANK(B45),1,--OR(L45&gt;1,M45&gt;1,N45&gt;1))</f>
        <v>1</v>
      </c>
      <c r="V45" s="22">
        <f>+Q45-N45</f>
        <v>1915695.2</v>
      </c>
      <c r="W45" s="23"/>
    </row>
    <row r="46" spans="1:23" ht="24.95" customHeight="1">
      <c r="B46" s="32"/>
      <c r="C46" s="33"/>
      <c r="D46" s="33"/>
      <c r="E46" s="33" t="s">
        <v>67</v>
      </c>
      <c r="F46" s="34">
        <f t="shared" ref="F46:O46" si="17">+F45+F38+F35</f>
        <v>16784550</v>
      </c>
      <c r="G46" s="34">
        <f t="shared" si="17"/>
        <v>13834000</v>
      </c>
      <c r="H46" s="34">
        <f t="shared" si="17"/>
        <v>16512710</v>
      </c>
      <c r="I46" s="34">
        <f t="shared" si="17"/>
        <v>17138710</v>
      </c>
      <c r="J46" s="34" t="e">
        <f t="shared" si="17"/>
        <v>#REF!</v>
      </c>
      <c r="K46" s="34" t="e">
        <f t="shared" si="17"/>
        <v>#REF!</v>
      </c>
      <c r="L46" s="34">
        <f t="shared" si="17"/>
        <v>17041423</v>
      </c>
      <c r="M46" s="34">
        <f t="shared" si="17"/>
        <v>17041000</v>
      </c>
      <c r="N46" s="34">
        <f t="shared" si="17"/>
        <v>17241000</v>
      </c>
      <c r="O46" s="34">
        <f t="shared" si="17"/>
        <v>11499000</v>
      </c>
      <c r="P46" s="34">
        <f t="shared" ref="P46:R46" si="18">P38+P45</f>
        <v>11979000</v>
      </c>
      <c r="Q46" s="34">
        <f t="shared" si="18"/>
        <v>11659060.289999999</v>
      </c>
      <c r="R46" s="34">
        <f t="shared" si="18"/>
        <v>14875000</v>
      </c>
      <c r="S46" s="34">
        <f>S38+S45</f>
        <v>13607733.307999998</v>
      </c>
      <c r="T46" s="35">
        <f>T38+T45</f>
        <v>14179000</v>
      </c>
      <c r="U46" s="12">
        <f>IF(ISBLANK(B46),1,--OR(L46&gt;1,M46&gt;1,N46&gt;1))</f>
        <v>1</v>
      </c>
      <c r="V46" s="22">
        <f>+Q46-N46</f>
        <v>-5581939.7100000009</v>
      </c>
      <c r="W46" s="23"/>
    </row>
    <row r="47" spans="1:23" ht="24.95" customHeight="1">
      <c r="B47" s="36"/>
      <c r="C47" s="37" t="s">
        <v>68</v>
      </c>
      <c r="D47" s="37"/>
      <c r="E47" s="37"/>
      <c r="F47" s="37"/>
      <c r="G47" s="37"/>
      <c r="H47" s="37"/>
      <c r="I47" s="38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1"/>
      <c r="U47" s="12">
        <f>IF(ISBLANK(B47),1,--OR(L47&gt;1,M47&gt;1,N47&gt;1))</f>
        <v>1</v>
      </c>
      <c r="V47" s="22">
        <f>+Q47-N47</f>
        <v>0</v>
      </c>
      <c r="W47" s="23">
        <f>P47-Q47</f>
        <v>0</v>
      </c>
    </row>
    <row r="48" spans="1:23" ht="10.5" customHeight="1">
      <c r="B48" s="18"/>
      <c r="C48" s="19"/>
      <c r="D48" s="19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1"/>
      <c r="U48" s="12"/>
      <c r="V48" s="22"/>
      <c r="W48" s="23">
        <f>P48-Q48</f>
        <v>0</v>
      </c>
    </row>
    <row r="49" spans="1:24" ht="24.95" customHeight="1">
      <c r="A49" s="1">
        <v>3</v>
      </c>
      <c r="B49" s="18">
        <v>1212300620</v>
      </c>
      <c r="C49" s="19" t="str">
        <f>MID(B49,8,3)</f>
        <v>620</v>
      </c>
      <c r="D49" s="19" t="str">
        <f>MID(B49,2,6)</f>
        <v>212300</v>
      </c>
      <c r="E49" s="19" t="s">
        <v>69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>
        <f>VLOOKUP(B:B,'[3]תקבולים 2017'!B:R,15,0)</f>
        <v>0</v>
      </c>
      <c r="Q49" s="20">
        <f>-VLOOKUP(B:B,'[3]דוח כספי 10.17 מעודכן'!A:D,4,0)</f>
        <v>1200</v>
      </c>
      <c r="R49" s="20">
        <f>VLOOKUP(B:B,'[3]תקבולים 2017'!B:T,17,0)</f>
        <v>2000</v>
      </c>
      <c r="S49" s="20">
        <f>Q49/10*12</f>
        <v>1440</v>
      </c>
      <c r="T49" s="21">
        <v>1500</v>
      </c>
      <c r="U49" s="12"/>
      <c r="V49" s="22"/>
      <c r="W49" s="23">
        <f>P49-Q49</f>
        <v>-1200</v>
      </c>
    </row>
    <row r="50" spans="1:24" ht="24.95" hidden="1" customHeight="1">
      <c r="A50" s="1">
        <v>8</v>
      </c>
      <c r="B50" s="18">
        <v>1213200920</v>
      </c>
      <c r="C50" s="19" t="s">
        <v>70</v>
      </c>
      <c r="D50" s="19" t="s">
        <v>71</v>
      </c>
      <c r="E50" s="19" t="s">
        <v>72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>
        <f>VLOOKUP(B:B,'[3]תקבולים 2017'!B:R,15,0)</f>
        <v>0</v>
      </c>
      <c r="Q50" s="20">
        <f>-VLOOKUP(B:B,'[3]דוח כספי 10.17 מעודכן'!A:D,4,0)</f>
        <v>331.83</v>
      </c>
      <c r="R50" s="20">
        <f>VLOOKUP(B:B,'[3]תקבולים 2017'!B:T,17,0)</f>
        <v>0</v>
      </c>
      <c r="S50" s="20">
        <v>12</v>
      </c>
      <c r="T50" s="21">
        <v>0</v>
      </c>
      <c r="U50" s="12"/>
      <c r="W50" s="23">
        <v>-10</v>
      </c>
    </row>
    <row r="51" spans="1:24" ht="24.95" hidden="1" customHeight="1">
      <c r="A51" s="1">
        <v>8</v>
      </c>
      <c r="B51" s="18">
        <v>1213200920</v>
      </c>
      <c r="C51" s="19" t="str">
        <f>MID(B51,8,3)</f>
        <v>920</v>
      </c>
      <c r="D51" s="19" t="str">
        <f>MID(B51,2,6)</f>
        <v>213200</v>
      </c>
      <c r="E51" s="19" t="s">
        <v>72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>
        <f>VLOOKUP(B:B,'[3]תקבולים 2017'!B:R,15,0)</f>
        <v>0</v>
      </c>
      <c r="Q51" s="20">
        <f>-VLOOKUP(B:B,'[3]דוח כספי 10.17 מעודכן'!A:D,4,0)</f>
        <v>331.83</v>
      </c>
      <c r="R51" s="20">
        <f>VLOOKUP(B:B,'[3]תקבולים 2017'!B:T,17,0)</f>
        <v>0</v>
      </c>
      <c r="S51" s="20">
        <f>Q51/10*12</f>
        <v>398.19600000000003</v>
      </c>
      <c r="T51" s="21">
        <v>0</v>
      </c>
      <c r="U51" s="12"/>
      <c r="V51" s="22"/>
      <c r="W51" s="23">
        <f>P51-Q51</f>
        <v>-331.83</v>
      </c>
    </row>
    <row r="52" spans="1:24" ht="24.95" customHeight="1">
      <c r="A52" s="1">
        <v>3</v>
      </c>
      <c r="B52" s="18">
        <v>1216900290</v>
      </c>
      <c r="C52" s="19" t="s">
        <v>46</v>
      </c>
      <c r="D52" s="19" t="s">
        <v>73</v>
      </c>
      <c r="E52" s="19" t="s">
        <v>53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>
        <f>VLOOKUP(B:B,'[3]תקבולים 2017'!B:R,15,0)</f>
        <v>500000</v>
      </c>
      <c r="Q52" s="20">
        <f>-VLOOKUP(B:B,'[3]דוח כספי 10.17 מעודכן'!A:D,4,0)</f>
        <v>200000</v>
      </c>
      <c r="R52" s="20">
        <f>VLOOKUP(B:B,'[3]תקבולים 2017'!B:T,17,0)</f>
        <v>200000</v>
      </c>
      <c r="S52" s="20">
        <v>480000</v>
      </c>
      <c r="T52" s="21"/>
      <c r="U52" s="12"/>
      <c r="V52" s="22"/>
      <c r="W52" s="23"/>
      <c r="X52" s="5">
        <v>1131690290</v>
      </c>
    </row>
    <row r="53" spans="1:24" s="39" customFormat="1" ht="24.95" customHeight="1">
      <c r="A53" s="39">
        <v>8</v>
      </c>
      <c r="B53" s="24">
        <v>1221000900</v>
      </c>
      <c r="C53" s="25" t="str">
        <f t="shared" ref="C53:C59" si="19">MID(B53,8,3)</f>
        <v>900</v>
      </c>
      <c r="D53" s="25" t="str">
        <f t="shared" ref="D53:D59" si="20">MID(B53,2,6)</f>
        <v>221000</v>
      </c>
      <c r="E53" s="25" t="s">
        <v>74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>
        <f>VLOOKUP(B:B,'[3]תקבולים 2017'!B:R,15,0)</f>
        <v>0</v>
      </c>
      <c r="Q53" s="26">
        <f>-VLOOKUP(B:B,'[3]דוח כספי 10.17 מעודכן'!A:D,4,0)</f>
        <v>0</v>
      </c>
      <c r="R53" s="26">
        <v>330000</v>
      </c>
      <c r="S53" s="26">
        <f t="shared" ref="S53:S59" si="21">Q53/10*12</f>
        <v>0</v>
      </c>
      <c r="T53" s="27">
        <v>330000</v>
      </c>
      <c r="U53" s="40"/>
      <c r="V53" s="41"/>
      <c r="W53" s="42">
        <f t="shared" ref="W53:W61" si="22">P53-Q53</f>
        <v>0</v>
      </c>
      <c r="X53" s="43" t="s">
        <v>75</v>
      </c>
    </row>
    <row r="54" spans="1:24" ht="24.95" customHeight="1">
      <c r="A54" s="1">
        <v>8</v>
      </c>
      <c r="B54" s="18">
        <v>1221001900</v>
      </c>
      <c r="C54" s="19" t="str">
        <f t="shared" si="19"/>
        <v>900</v>
      </c>
      <c r="D54" s="19" t="str">
        <f t="shared" si="20"/>
        <v>221001</v>
      </c>
      <c r="E54" s="19" t="s">
        <v>76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>
        <f>VLOOKUP(B:B,'[3]תקבולים 2017'!B:R,15,0)</f>
        <v>237000</v>
      </c>
      <c r="Q54" s="20">
        <f>-VLOOKUP(B:B,'[3]דוח כספי 10.17 מעודכן'!A:D,4,0)</f>
        <v>324397</v>
      </c>
      <c r="R54" s="20">
        <f>VLOOKUP(B:B,'[3]תקבולים 2017'!B:T,17,0)</f>
        <v>380000</v>
      </c>
      <c r="S54" s="20">
        <f t="shared" si="21"/>
        <v>389276.4</v>
      </c>
      <c r="T54" s="21">
        <v>390000</v>
      </c>
      <c r="U54" s="12"/>
      <c r="V54" s="22"/>
      <c r="W54" s="23">
        <f t="shared" si="22"/>
        <v>-87397</v>
      </c>
    </row>
    <row r="55" spans="1:24" ht="24.95" customHeight="1">
      <c r="A55" s="1">
        <v>3</v>
      </c>
      <c r="B55" s="18">
        <v>1242210290</v>
      </c>
      <c r="C55" s="19" t="str">
        <f t="shared" si="19"/>
        <v>290</v>
      </c>
      <c r="D55" s="19" t="str">
        <f t="shared" si="20"/>
        <v>242210</v>
      </c>
      <c r="E55" s="19" t="s">
        <v>77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>
        <f>VLOOKUP(B:B,'[3]תקבולים 2017'!B:R,15,0)</f>
        <v>150000</v>
      </c>
      <c r="Q55" s="20">
        <f>-VLOOKUP(B:B,'[3]דוח כספי 10.17 מעודכן'!A:D,4,0)</f>
        <v>221291.67</v>
      </c>
      <c r="R55" s="20">
        <f>VLOOKUP(B:B,'[3]תקבולים 2017'!B:T,17,0)</f>
        <v>220000</v>
      </c>
      <c r="S55" s="20">
        <f t="shared" si="21"/>
        <v>265550.00400000002</v>
      </c>
      <c r="T55" s="21">
        <v>230000</v>
      </c>
      <c r="U55" s="12"/>
      <c r="V55" s="22"/>
      <c r="W55" s="23">
        <f t="shared" si="22"/>
        <v>-71291.670000000013</v>
      </c>
    </row>
    <row r="56" spans="1:24" ht="24.95" customHeight="1">
      <c r="A56" s="1">
        <v>3</v>
      </c>
      <c r="B56" s="18">
        <v>1244000790</v>
      </c>
      <c r="C56" s="19" t="str">
        <f t="shared" si="19"/>
        <v>790</v>
      </c>
      <c r="D56" s="19" t="str">
        <f t="shared" si="20"/>
        <v>244000</v>
      </c>
      <c r="E56" s="19" t="s">
        <v>78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>
        <f>VLOOKUP(B:B,'[3]תקבולים 2017'!B:R,15,0)</f>
        <v>35000</v>
      </c>
      <c r="Q56" s="20">
        <f>-VLOOKUP(B:B,'[3]דוח כספי 10.17 מעודכן'!A:D,4,0)</f>
        <v>14800</v>
      </c>
      <c r="R56" s="20">
        <f>VLOOKUP(B:B,'[3]תקבולים 2017'!B:T,17,0)</f>
        <v>20000</v>
      </c>
      <c r="S56" s="20">
        <f t="shared" si="21"/>
        <v>17760</v>
      </c>
      <c r="T56" s="21">
        <v>18000</v>
      </c>
      <c r="U56" s="12"/>
      <c r="V56" s="22"/>
      <c r="W56" s="23">
        <f t="shared" si="22"/>
        <v>20200</v>
      </c>
    </row>
    <row r="57" spans="1:24" ht="24.95" customHeight="1">
      <c r="A57" s="1">
        <v>3</v>
      </c>
      <c r="B57" s="18">
        <v>1244100210</v>
      </c>
      <c r="C57" s="19" t="str">
        <f t="shared" si="19"/>
        <v>210</v>
      </c>
      <c r="D57" s="19" t="str">
        <f t="shared" si="20"/>
        <v>244100</v>
      </c>
      <c r="E57" s="19" t="s">
        <v>79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>
        <f>VLOOKUP(B:B,'[3]תקבולים 2017'!B:R,15,0)</f>
        <v>20000</v>
      </c>
      <c r="Q57" s="20">
        <f>-VLOOKUP(B:B,'[3]דוח כספי 10.17 מעודכן'!A:D,4,0)</f>
        <v>13490</v>
      </c>
      <c r="R57" s="20">
        <f>VLOOKUP(B:B,'[3]תקבולים 2017'!B:T,17,0)</f>
        <v>15000</v>
      </c>
      <c r="S57" s="20">
        <f t="shared" si="21"/>
        <v>16188</v>
      </c>
      <c r="T57" s="21">
        <v>15000</v>
      </c>
      <c r="U57" s="12"/>
      <c r="V57" s="22"/>
      <c r="W57" s="23">
        <f t="shared" si="22"/>
        <v>6510</v>
      </c>
    </row>
    <row r="58" spans="1:24" ht="24.95" hidden="1" customHeight="1">
      <c r="A58" s="1">
        <v>3</v>
      </c>
      <c r="B58" s="18">
        <v>1249000540</v>
      </c>
      <c r="C58" s="19" t="str">
        <f t="shared" si="19"/>
        <v>540</v>
      </c>
      <c r="D58" s="19" t="str">
        <f t="shared" si="20"/>
        <v>249000</v>
      </c>
      <c r="E58" s="19" t="s">
        <v>80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>
        <f>VLOOKUP(B:B,'[3]תקבולים 2017'!B:R,15,0)</f>
        <v>0</v>
      </c>
      <c r="Q58" s="20">
        <f>-VLOOKUP(B:B,'[3]דוח כספי 10.17 מעודכן'!A:D,4,0)</f>
        <v>0</v>
      </c>
      <c r="R58" s="20">
        <f>VLOOKUP(B:B,'[3]תקבולים 2017'!B:T,17,0)</f>
        <v>0</v>
      </c>
      <c r="S58" s="20">
        <f t="shared" si="21"/>
        <v>0</v>
      </c>
      <c r="T58" s="21">
        <v>0</v>
      </c>
      <c r="U58" s="12"/>
      <c r="V58" s="22"/>
      <c r="W58" s="23">
        <f t="shared" si="22"/>
        <v>0</v>
      </c>
    </row>
    <row r="59" spans="1:24" ht="24.95" hidden="1" customHeight="1">
      <c r="A59" s="1">
        <v>8</v>
      </c>
      <c r="B59" s="18">
        <v>1296000960</v>
      </c>
      <c r="C59" s="19" t="str">
        <f t="shared" si="19"/>
        <v>960</v>
      </c>
      <c r="D59" s="19" t="str">
        <f t="shared" si="20"/>
        <v>296000</v>
      </c>
      <c r="E59" s="19" t="s">
        <v>81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>
        <f>VLOOKUP(B:B,'[3]תקבולים 2017'!B:R,15,0)</f>
        <v>0</v>
      </c>
      <c r="Q59" s="20">
        <f>-VLOOKUP(B:B,'[3]דוח כספי 10.17 מעודכן'!A:D,4,0)</f>
        <v>0</v>
      </c>
      <c r="R59" s="20">
        <f>VLOOKUP(B:B,'[3]תקבולים 2017'!B:T,17,0)</f>
        <v>0</v>
      </c>
      <c r="S59" s="20">
        <f t="shared" si="21"/>
        <v>0</v>
      </c>
      <c r="T59" s="21">
        <v>0</v>
      </c>
      <c r="U59" s="12"/>
      <c r="V59" s="22"/>
      <c r="W59" s="23">
        <f t="shared" si="22"/>
        <v>0</v>
      </c>
    </row>
    <row r="60" spans="1:24" ht="24.95" customHeight="1">
      <c r="B60" s="32"/>
      <c r="C60" s="33"/>
      <c r="D60" s="33"/>
      <c r="E60" s="33" t="s">
        <v>82</v>
      </c>
      <c r="F60" s="34" t="e">
        <f>SUM(#REF!)</f>
        <v>#REF!</v>
      </c>
      <c r="G60" s="34" t="e">
        <f>SUM(#REF!)</f>
        <v>#REF!</v>
      </c>
      <c r="H60" s="34" t="e">
        <f>SUM(#REF!)</f>
        <v>#REF!</v>
      </c>
      <c r="I60" s="34" t="e">
        <f>SUM(#REF!)</f>
        <v>#REF!</v>
      </c>
      <c r="J60" s="34" t="e">
        <f>SUM(#REF!)</f>
        <v>#REF!</v>
      </c>
      <c r="K60" s="34" t="e">
        <f>SUM(#REF!)</f>
        <v>#REF!</v>
      </c>
      <c r="L60" s="34" t="e">
        <f>SUM(#REF!)</f>
        <v>#REF!</v>
      </c>
      <c r="M60" s="34" t="e">
        <f>SUM(#REF!)</f>
        <v>#REF!</v>
      </c>
      <c r="N60" s="34" t="e">
        <f>SUM(#REF!)</f>
        <v>#REF!</v>
      </c>
      <c r="O60" s="34" t="e">
        <f>SUM(#REF!)</f>
        <v>#REF!</v>
      </c>
      <c r="P60" s="34">
        <f>SUM(P48:P59)</f>
        <v>942000</v>
      </c>
      <c r="Q60" s="34">
        <f>SUM(Q48:Q59)</f>
        <v>775842.33000000007</v>
      </c>
      <c r="R60" s="34">
        <f>SUM(R48:R59)</f>
        <v>1167000</v>
      </c>
      <c r="S60" s="34">
        <f>SUM(S48:S59)</f>
        <v>1170624.6000000001</v>
      </c>
      <c r="T60" s="35">
        <f>SUM(T48:T59)</f>
        <v>984500</v>
      </c>
      <c r="U60" s="12">
        <f>IF(ISBLANK(B60),1,--OR(L60&gt;1,M60&gt;1,N60&gt;1))</f>
        <v>1</v>
      </c>
      <c r="V60" s="22" t="e">
        <f>+Q60-N60</f>
        <v>#REF!</v>
      </c>
      <c r="W60" s="23">
        <f t="shared" si="22"/>
        <v>166157.66999999993</v>
      </c>
    </row>
    <row r="61" spans="1:24" ht="24.95" customHeight="1">
      <c r="B61" s="36"/>
      <c r="C61" s="37" t="s">
        <v>83</v>
      </c>
      <c r="D61" s="37"/>
      <c r="E61" s="37"/>
      <c r="F61" s="37"/>
      <c r="G61" s="37"/>
      <c r="H61" s="37"/>
      <c r="I61" s="38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1"/>
      <c r="U61" s="12">
        <f>IF(ISBLANK(B61),1,--OR(L61&gt;1,M61&gt;1,N61&gt;1))</f>
        <v>1</v>
      </c>
      <c r="V61" s="22">
        <f>+Q61-N61</f>
        <v>0</v>
      </c>
      <c r="W61" s="23">
        <f t="shared" si="22"/>
        <v>0</v>
      </c>
    </row>
    <row r="62" spans="1:24" ht="24.95" customHeight="1">
      <c r="A62" s="1">
        <v>9</v>
      </c>
      <c r="B62" s="24">
        <v>1311000920</v>
      </c>
      <c r="C62" s="25" t="str">
        <f>MID(B62,8,3)</f>
        <v>920</v>
      </c>
      <c r="D62" s="25" t="str">
        <f>MID(B62,2,6)</f>
        <v>311000</v>
      </c>
      <c r="E62" s="25" t="s">
        <v>84</v>
      </c>
      <c r="F62" s="26"/>
      <c r="G62" s="26"/>
      <c r="H62" s="26"/>
      <c r="I62" s="26"/>
      <c r="J62" s="26"/>
      <c r="K62" s="26"/>
      <c r="L62" s="26"/>
      <c r="M62" s="26"/>
      <c r="N62" s="26"/>
      <c r="O62" s="44"/>
      <c r="P62" s="26">
        <v>0</v>
      </c>
      <c r="Q62" s="26">
        <v>0</v>
      </c>
      <c r="R62" s="26">
        <v>0</v>
      </c>
      <c r="S62" s="26">
        <v>0</v>
      </c>
      <c r="T62" s="27">
        <v>400000</v>
      </c>
      <c r="U62" s="40"/>
      <c r="V62" s="39"/>
      <c r="W62" s="42"/>
      <c r="X62" s="45">
        <v>1319000920</v>
      </c>
    </row>
    <row r="63" spans="1:24" ht="24.95" customHeight="1">
      <c r="A63" s="1">
        <v>9</v>
      </c>
      <c r="B63" s="24">
        <v>1311100920</v>
      </c>
      <c r="C63" s="25" t="str">
        <f>MID(B63,8,3)</f>
        <v>920</v>
      </c>
      <c r="D63" s="25" t="str">
        <f>MID(B63,2,6)</f>
        <v>311100</v>
      </c>
      <c r="E63" s="25" t="s">
        <v>85</v>
      </c>
      <c r="F63" s="26"/>
      <c r="G63" s="26"/>
      <c r="H63" s="26"/>
      <c r="I63" s="26"/>
      <c r="J63" s="26"/>
      <c r="K63" s="26"/>
      <c r="L63" s="26"/>
      <c r="M63" s="26"/>
      <c r="N63" s="26"/>
      <c r="O63" s="44"/>
      <c r="P63" s="26">
        <v>0</v>
      </c>
      <c r="Q63" s="26">
        <v>0</v>
      </c>
      <c r="R63" s="26">
        <v>0</v>
      </c>
      <c r="S63" s="26">
        <v>0</v>
      </c>
      <c r="T63" s="27">
        <f>636000-400000</f>
        <v>236000</v>
      </c>
      <c r="U63" s="40"/>
      <c r="V63" s="39"/>
      <c r="W63" s="42"/>
      <c r="X63" s="45">
        <v>1319000920</v>
      </c>
    </row>
    <row r="64" spans="1:24" ht="24.95" customHeight="1">
      <c r="A64" s="1">
        <v>9</v>
      </c>
      <c r="B64" s="24">
        <v>1311200920</v>
      </c>
      <c r="C64" s="25" t="str">
        <f>MID(B64,8,3)</f>
        <v>920</v>
      </c>
      <c r="D64" s="25" t="str">
        <f>MID(B64,2,6)</f>
        <v>311200</v>
      </c>
      <c r="E64" s="25" t="s">
        <v>86</v>
      </c>
      <c r="F64" s="26"/>
      <c r="G64" s="26"/>
      <c r="H64" s="26"/>
      <c r="I64" s="26"/>
      <c r="J64" s="26"/>
      <c r="K64" s="26"/>
      <c r="L64" s="26"/>
      <c r="M64" s="26"/>
      <c r="N64" s="26"/>
      <c r="O64" s="44"/>
      <c r="P64" s="26">
        <v>0</v>
      </c>
      <c r="Q64" s="26">
        <v>0</v>
      </c>
      <c r="R64" s="26">
        <v>0</v>
      </c>
      <c r="S64" s="26">
        <v>0</v>
      </c>
      <c r="T64" s="27">
        <v>56000</v>
      </c>
      <c r="U64" s="40"/>
      <c r="V64" s="39"/>
      <c r="W64" s="42"/>
      <c r="X64" s="45">
        <v>1319110920</v>
      </c>
    </row>
    <row r="65" spans="1:25" ht="24.95" customHeight="1">
      <c r="A65" s="1">
        <v>9</v>
      </c>
      <c r="B65" s="24">
        <v>1311200920</v>
      </c>
      <c r="C65" s="25" t="str">
        <f>MID(B65,8,3)</f>
        <v>920</v>
      </c>
      <c r="D65" s="25" t="str">
        <f>MID(B65,2,6)</f>
        <v>311200</v>
      </c>
      <c r="E65" s="25" t="s">
        <v>87</v>
      </c>
      <c r="F65" s="26"/>
      <c r="G65" s="26"/>
      <c r="H65" s="26"/>
      <c r="I65" s="26"/>
      <c r="J65" s="26"/>
      <c r="K65" s="26"/>
      <c r="L65" s="26"/>
      <c r="M65" s="26"/>
      <c r="N65" s="26"/>
      <c r="O65" s="44"/>
      <c r="P65" s="26">
        <v>0</v>
      </c>
      <c r="Q65" s="26">
        <v>0</v>
      </c>
      <c r="R65" s="26">
        <v>0</v>
      </c>
      <c r="S65" s="26">
        <v>191016.864</v>
      </c>
      <c r="T65" s="27">
        <v>191000</v>
      </c>
      <c r="U65" s="40"/>
      <c r="V65" s="39"/>
      <c r="W65" s="42"/>
      <c r="X65" s="45">
        <v>1317569920</v>
      </c>
    </row>
    <row r="66" spans="1:25" ht="24.95" hidden="1" customHeight="1">
      <c r="A66" s="1">
        <v>9</v>
      </c>
      <c r="B66" s="24">
        <v>1311210920</v>
      </c>
      <c r="C66" s="25" t="str">
        <f>MID(B66,8,3)</f>
        <v>920</v>
      </c>
      <c r="D66" s="25" t="str">
        <f>MID(B66,2,6)</f>
        <v>311210</v>
      </c>
      <c r="E66" s="25" t="s">
        <v>88</v>
      </c>
      <c r="F66" s="26"/>
      <c r="G66" s="26"/>
      <c r="H66" s="26"/>
      <c r="I66" s="26"/>
      <c r="J66" s="26"/>
      <c r="K66" s="26"/>
      <c r="L66" s="26"/>
      <c r="M66" s="26"/>
      <c r="N66" s="26"/>
      <c r="O66" s="44"/>
      <c r="P66" s="26">
        <v>0</v>
      </c>
      <c r="Q66" s="26">
        <v>0</v>
      </c>
      <c r="R66" s="26">
        <v>0</v>
      </c>
      <c r="S66" s="26">
        <v>0</v>
      </c>
      <c r="T66" s="27">
        <v>0</v>
      </c>
      <c r="U66" s="40"/>
      <c r="V66" s="39"/>
      <c r="W66" s="42"/>
      <c r="X66" s="45">
        <v>1315160920</v>
      </c>
    </row>
    <row r="67" spans="1:25" ht="24.95" customHeight="1">
      <c r="B67" s="28"/>
      <c r="C67" s="29"/>
      <c r="D67" s="29"/>
      <c r="E67" s="29" t="s">
        <v>89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>
        <f t="shared" ref="P67:S67" si="23">SUM(P62:P66)</f>
        <v>0</v>
      </c>
      <c r="Q67" s="30">
        <f t="shared" si="23"/>
        <v>0</v>
      </c>
      <c r="R67" s="30">
        <f t="shared" si="23"/>
        <v>0</v>
      </c>
      <c r="S67" s="30">
        <f t="shared" si="23"/>
        <v>191016.864</v>
      </c>
      <c r="T67" s="31">
        <f>SUM(T62:T66)</f>
        <v>883000</v>
      </c>
      <c r="U67" s="12"/>
      <c r="V67" s="22"/>
      <c r="W67" s="23"/>
    </row>
    <row r="68" spans="1:25" s="39" customFormat="1" ht="24.95" customHeight="1">
      <c r="A68" s="39">
        <v>9</v>
      </c>
      <c r="B68" s="24">
        <v>1312200920</v>
      </c>
      <c r="C68" s="25" t="str">
        <f t="shared" ref="C68:C76" si="24">MID(B68,8,3)</f>
        <v>920</v>
      </c>
      <c r="D68" s="25" t="str">
        <f t="shared" ref="D68:D76" si="25">MID(B68,2,6)</f>
        <v>312200</v>
      </c>
      <c r="E68" s="25" t="s">
        <v>90</v>
      </c>
      <c r="F68" s="26">
        <v>270000</v>
      </c>
      <c r="G68" s="26">
        <v>263968.73</v>
      </c>
      <c r="H68" s="26">
        <f>G68*12/10</f>
        <v>316762.47599999997</v>
      </c>
      <c r="I68" s="26">
        <f>H68</f>
        <v>316762.47599999997</v>
      </c>
      <c r="J68" s="26" t="e">
        <f>VLOOKUP(B68,#REF!,6,0)</f>
        <v>#REF!</v>
      </c>
      <c r="K68" s="26" t="e">
        <f>+J68*1.71428571428571</f>
        <v>#REF!</v>
      </c>
      <c r="L68" s="26">
        <v>300000</v>
      </c>
      <c r="M68" s="26">
        <v>250000</v>
      </c>
      <c r="N68" s="26">
        <v>300000</v>
      </c>
      <c r="O68" s="26">
        <f>VLOOKUP(B68,[3]כספי!$A$1:$E$324,5,0)</f>
        <v>145988.82</v>
      </c>
      <c r="P68" s="26">
        <f>VLOOKUP(B:B,'[3]תקבולים 2017'!B:R,15,0)</f>
        <v>8153000</v>
      </c>
      <c r="Q68" s="26">
        <f>-VLOOKUP(B:B,'[3]דוח כספי 10.17 מעודכן'!A:D,4,0)</f>
        <v>7031560.8899999997</v>
      </c>
      <c r="R68" s="26">
        <f>VLOOKUP(B:B,'[3]תקבולים 2017'!B:T,17,0)</f>
        <v>8438000</v>
      </c>
      <c r="S68" s="26">
        <f>Q68/10*12</f>
        <v>8437873.068</v>
      </c>
      <c r="T68" s="27">
        <v>0</v>
      </c>
      <c r="U68" s="40">
        <f>IF(ISBLANK(B68),1,--OR(L68&gt;1,M68&gt;1,N68&gt;1))</f>
        <v>1</v>
      </c>
      <c r="V68" s="41">
        <f>+Q68-N68</f>
        <v>6731560.8899999997</v>
      </c>
      <c r="W68" s="42">
        <f>P68-Q68</f>
        <v>1121439.1100000003</v>
      </c>
      <c r="X68" s="45">
        <v>1315001920</v>
      </c>
    </row>
    <row r="69" spans="1:25" s="39" customFormat="1" ht="24.95" hidden="1" customHeight="1">
      <c r="A69" s="39">
        <v>9</v>
      </c>
      <c r="B69" s="24">
        <v>1312210920</v>
      </c>
      <c r="C69" s="25" t="str">
        <f t="shared" si="24"/>
        <v>920</v>
      </c>
      <c r="D69" s="25" t="str">
        <f t="shared" si="25"/>
        <v>312210</v>
      </c>
      <c r="E69" s="25" t="s">
        <v>91</v>
      </c>
      <c r="F69" s="26">
        <v>1090000</v>
      </c>
      <c r="G69" s="26">
        <f>675630.89+100000</f>
        <v>775630.89</v>
      </c>
      <c r="H69" s="26">
        <f>G69*12/10+370000</f>
        <v>1300757.068</v>
      </c>
      <c r="I69" s="26">
        <v>930757.06799999997</v>
      </c>
      <c r="J69" s="26" t="e">
        <f>VLOOKUP(B69,#REF!,6,0)</f>
        <v>#REF!</v>
      </c>
      <c r="K69" s="26" t="e">
        <f>+J69*1.71428571428571</f>
        <v>#REF!</v>
      </c>
      <c r="L69" s="26">
        <v>1100000</v>
      </c>
      <c r="M69" s="26">
        <v>900000</v>
      </c>
      <c r="N69" s="26">
        <v>1250000</v>
      </c>
      <c r="O69" s="26">
        <v>817191.01</v>
      </c>
      <c r="P69" s="26">
        <f>VLOOKUP(B:B,'[3]תקבולים 2017'!B:R,15,0)</f>
        <v>0</v>
      </c>
      <c r="Q69" s="26">
        <f>-VLOOKUP(B:B,'[3]דוח כספי 10.17 מעודכן'!A:D,4,0)</f>
        <v>0</v>
      </c>
      <c r="R69" s="26">
        <f>VLOOKUP(B:B,'[3]תקבולים 2017'!B:T,17,0)</f>
        <v>0</v>
      </c>
      <c r="S69" s="26">
        <f>Q69/10*12</f>
        <v>0</v>
      </c>
      <c r="T69" s="27">
        <v>0</v>
      </c>
      <c r="U69" s="40">
        <f>IF(ISBLANK(B69),1,--OR(L69&gt;1,M69&gt;1,N69&gt;1))</f>
        <v>1</v>
      </c>
      <c r="V69" s="41">
        <f>+Q69-N69</f>
        <v>-1250000</v>
      </c>
      <c r="W69" s="42">
        <f>P69-Q69</f>
        <v>0</v>
      </c>
      <c r="X69" s="45">
        <v>1315726920</v>
      </c>
    </row>
    <row r="70" spans="1:25" s="39" customFormat="1" ht="24.95" customHeight="1">
      <c r="A70" s="39">
        <v>9</v>
      </c>
      <c r="B70" s="24">
        <v>1312220920</v>
      </c>
      <c r="C70" s="25" t="str">
        <f t="shared" si="24"/>
        <v>920</v>
      </c>
      <c r="D70" s="25" t="str">
        <f t="shared" si="25"/>
        <v>312220</v>
      </c>
      <c r="E70" s="25" t="s">
        <v>92</v>
      </c>
      <c r="F70" s="26">
        <v>120000</v>
      </c>
      <c r="G70" s="26">
        <v>122149.44</v>
      </c>
      <c r="H70" s="26">
        <f>136164+14000</f>
        <v>150164</v>
      </c>
      <c r="I70" s="26">
        <f>H70</f>
        <v>150164</v>
      </c>
      <c r="J70" s="26" t="e">
        <f>VLOOKUP(B70,#REF!,6,0)</f>
        <v>#REF!</v>
      </c>
      <c r="K70" s="26" t="e">
        <f>+J70*1.71428571428571</f>
        <v>#REF!</v>
      </c>
      <c r="L70" s="26">
        <v>200000</v>
      </c>
      <c r="M70" s="26">
        <v>190000</v>
      </c>
      <c r="N70" s="26">
        <v>210000</v>
      </c>
      <c r="O70" s="26" t="e">
        <f>VLOOKUP(B70,[3]כספי!$A$1:$E$324,5,0)</f>
        <v>#N/A</v>
      </c>
      <c r="P70" s="26">
        <f>VLOOKUP(B:B,'[3]תקבולים 2017'!B:R,15,0)</f>
        <v>527000</v>
      </c>
      <c r="Q70" s="26">
        <f>-VLOOKUP(B:B,'[3]דוח כספי 10.17 מעודכן'!A:D,4,0)</f>
        <v>530396.04</v>
      </c>
      <c r="R70" s="26">
        <f>VLOOKUP(B:B,'[3]תקבולים 2017'!B:T,17,0)</f>
        <v>637000</v>
      </c>
      <c r="S70" s="26">
        <f>Q70/10*12</f>
        <v>636475.24800000014</v>
      </c>
      <c r="T70" s="27">
        <v>0</v>
      </c>
      <c r="U70" s="40">
        <f>IF(ISBLANK(B70),1,--OR(L70&gt;1,M70&gt;1,N70&gt;1))</f>
        <v>1</v>
      </c>
      <c r="V70" s="41">
        <f>+Q70-N70</f>
        <v>320396.04000000004</v>
      </c>
      <c r="W70" s="42">
        <f>P70-Q70</f>
        <v>-3396.0400000000373</v>
      </c>
      <c r="X70" s="45">
        <v>1315713920</v>
      </c>
    </row>
    <row r="71" spans="1:25" ht="24.95" customHeight="1">
      <c r="A71" s="1">
        <v>9</v>
      </c>
      <c r="B71" s="24">
        <v>1312222920</v>
      </c>
      <c r="C71" s="25" t="str">
        <f t="shared" si="24"/>
        <v>920</v>
      </c>
      <c r="D71" s="25" t="str">
        <f t="shared" si="25"/>
        <v>312222</v>
      </c>
      <c r="E71" s="25" t="s">
        <v>93</v>
      </c>
      <c r="F71" s="26"/>
      <c r="G71" s="26"/>
      <c r="H71" s="26"/>
      <c r="I71" s="26"/>
      <c r="J71" s="26"/>
      <c r="K71" s="26"/>
      <c r="L71" s="26"/>
      <c r="M71" s="26"/>
      <c r="N71" s="26"/>
      <c r="O71" s="44"/>
      <c r="P71" s="26">
        <v>0</v>
      </c>
      <c r="Q71" s="26">
        <v>0</v>
      </c>
      <c r="R71" s="26">
        <v>0</v>
      </c>
      <c r="S71" s="26">
        <v>0</v>
      </c>
      <c r="T71" s="27">
        <v>1446000</v>
      </c>
      <c r="U71" s="46"/>
      <c r="V71" s="47"/>
      <c r="W71" s="48"/>
      <c r="X71" s="45">
        <v>1313300920</v>
      </c>
    </row>
    <row r="72" spans="1:25" ht="24.95" customHeight="1">
      <c r="A72" s="1">
        <v>9</v>
      </c>
      <c r="B72" s="24">
        <v>1312230920</v>
      </c>
      <c r="C72" s="25" t="str">
        <f t="shared" si="24"/>
        <v>920</v>
      </c>
      <c r="D72" s="25" t="str">
        <f t="shared" si="25"/>
        <v>312230</v>
      </c>
      <c r="E72" s="25" t="s">
        <v>94</v>
      </c>
      <c r="F72" s="26"/>
      <c r="G72" s="26"/>
      <c r="H72" s="26"/>
      <c r="I72" s="26"/>
      <c r="J72" s="26"/>
      <c r="K72" s="26"/>
      <c r="L72" s="26"/>
      <c r="M72" s="26"/>
      <c r="N72" s="26"/>
      <c r="O72" s="44"/>
      <c r="P72" s="26">
        <v>0</v>
      </c>
      <c r="Q72" s="26">
        <v>0</v>
      </c>
      <c r="R72" s="26">
        <v>0</v>
      </c>
      <c r="S72" s="26">
        <v>0</v>
      </c>
      <c r="T72" s="27">
        <v>981000</v>
      </c>
      <c r="U72" s="46">
        <f>IF(ISBLANK(B72),1,--OR(L72&gt;1,M72&gt;1,N72&gt;1))</f>
        <v>0</v>
      </c>
      <c r="V72" s="47">
        <f>+Q72-N72</f>
        <v>0</v>
      </c>
      <c r="W72" s="48">
        <f>P72-Q72</f>
        <v>0</v>
      </c>
      <c r="X72" s="45">
        <v>1312230920</v>
      </c>
    </row>
    <row r="73" spans="1:25" s="39" customFormat="1" ht="24.95" customHeight="1">
      <c r="A73" s="39">
        <v>9</v>
      </c>
      <c r="B73" s="24">
        <v>1312230920</v>
      </c>
      <c r="C73" s="25" t="str">
        <f t="shared" si="24"/>
        <v>920</v>
      </c>
      <c r="D73" s="25" t="str">
        <f t="shared" si="25"/>
        <v>312230</v>
      </c>
      <c r="E73" s="25" t="s">
        <v>95</v>
      </c>
      <c r="F73" s="26"/>
      <c r="G73" s="26"/>
      <c r="H73" s="26"/>
      <c r="I73" s="26"/>
      <c r="J73" s="26"/>
      <c r="K73" s="26"/>
      <c r="L73" s="26"/>
      <c r="M73" s="26"/>
      <c r="N73" s="26"/>
      <c r="O73" s="44"/>
      <c r="P73" s="26">
        <v>0</v>
      </c>
      <c r="Q73" s="26">
        <v>0</v>
      </c>
      <c r="R73" s="26">
        <v>0</v>
      </c>
      <c r="S73" s="26">
        <v>0</v>
      </c>
      <c r="T73" s="27">
        <v>1500000</v>
      </c>
      <c r="U73" s="40"/>
      <c r="W73" s="42"/>
      <c r="X73" s="45">
        <v>1313240920</v>
      </c>
      <c r="Y73" s="49"/>
    </row>
    <row r="74" spans="1:25" ht="24.95" customHeight="1">
      <c r="A74" s="1">
        <v>9</v>
      </c>
      <c r="B74" s="24">
        <v>1312240920</v>
      </c>
      <c r="C74" s="25" t="str">
        <f t="shared" si="24"/>
        <v>920</v>
      </c>
      <c r="D74" s="25" t="str">
        <f t="shared" si="25"/>
        <v>312240</v>
      </c>
      <c r="E74" s="25" t="s">
        <v>96</v>
      </c>
      <c r="F74" s="26"/>
      <c r="G74" s="26"/>
      <c r="H74" s="26"/>
      <c r="I74" s="26"/>
      <c r="J74" s="26"/>
      <c r="K74" s="26"/>
      <c r="L74" s="26"/>
      <c r="M74" s="26"/>
      <c r="N74" s="26"/>
      <c r="O74" s="44"/>
      <c r="P74" s="26">
        <v>0</v>
      </c>
      <c r="Q74" s="26">
        <v>0</v>
      </c>
      <c r="R74" s="26">
        <v>0</v>
      </c>
      <c r="S74" s="26">
        <v>0</v>
      </c>
      <c r="T74" s="27">
        <v>3747000</v>
      </c>
      <c r="U74" s="46">
        <f>IF(ISBLANK(B74),1,--OR(L74&gt;1,M74&gt;1,N74&gt;1))</f>
        <v>0</v>
      </c>
      <c r="V74" s="47"/>
      <c r="W74" s="48"/>
      <c r="X74" s="45">
        <v>1317840920</v>
      </c>
    </row>
    <row r="75" spans="1:25" ht="24.95" hidden="1" customHeight="1">
      <c r="A75" s="1">
        <v>9</v>
      </c>
      <c r="B75" s="24">
        <v>1312250920</v>
      </c>
      <c r="C75" s="25" t="str">
        <f t="shared" si="24"/>
        <v>920</v>
      </c>
      <c r="D75" s="25" t="str">
        <f t="shared" si="25"/>
        <v>312250</v>
      </c>
      <c r="E75" s="25" t="s">
        <v>97</v>
      </c>
      <c r="F75" s="26"/>
      <c r="G75" s="26"/>
      <c r="H75" s="26"/>
      <c r="I75" s="26"/>
      <c r="J75" s="26"/>
      <c r="K75" s="26"/>
      <c r="L75" s="26"/>
      <c r="M75" s="26"/>
      <c r="N75" s="26"/>
      <c r="O75" s="44"/>
      <c r="P75" s="26">
        <v>0</v>
      </c>
      <c r="Q75" s="26">
        <v>0</v>
      </c>
      <c r="R75" s="26">
        <v>0</v>
      </c>
      <c r="S75" s="26">
        <v>0</v>
      </c>
      <c r="T75" s="27">
        <v>0</v>
      </c>
      <c r="U75" s="46">
        <f>IF(ISBLANK(B75),1,--OR(L75&gt;1,M75&gt;1,N75&gt;1))</f>
        <v>0</v>
      </c>
      <c r="V75" s="47"/>
      <c r="W75" s="48"/>
      <c r="X75" s="45">
        <v>1313200920</v>
      </c>
      <c r="Y75" s="1" t="s">
        <v>98</v>
      </c>
    </row>
    <row r="76" spans="1:25" ht="24.95" customHeight="1">
      <c r="A76" s="1">
        <v>10</v>
      </c>
      <c r="B76" s="24">
        <v>1312300290</v>
      </c>
      <c r="C76" s="25" t="str">
        <f t="shared" si="24"/>
        <v>290</v>
      </c>
      <c r="D76" s="25" t="str">
        <f t="shared" si="25"/>
        <v>312300</v>
      </c>
      <c r="E76" s="25" t="s">
        <v>99</v>
      </c>
      <c r="F76" s="26">
        <v>120000</v>
      </c>
      <c r="G76" s="26">
        <v>10719.2</v>
      </c>
      <c r="H76" s="26">
        <f>38682+10000</f>
        <v>48682</v>
      </c>
      <c r="I76" s="26">
        <f>H76</f>
        <v>48682</v>
      </c>
      <c r="J76" s="26" t="e">
        <f>VLOOKUP(B76,#REF!,6,0)</f>
        <v>#REF!</v>
      </c>
      <c r="K76" s="26" t="e">
        <f>+J76*1.71428571428571</f>
        <v>#REF!</v>
      </c>
      <c r="L76" s="26">
        <v>100000</v>
      </c>
      <c r="M76" s="26">
        <v>108000</v>
      </c>
      <c r="N76" s="26">
        <v>108000</v>
      </c>
      <c r="O76" s="26" t="e">
        <f>VLOOKUP(B76,[3]כספי!$A$1:$E$324,5,0)</f>
        <v>#N/A</v>
      </c>
      <c r="P76" s="26">
        <f>VLOOKUP(B:B,'[3]תקבולים 2017'!B:R,15,0)</f>
        <v>90000</v>
      </c>
      <c r="Q76" s="26">
        <f>-VLOOKUP(B:B,'[3]דוח כספי 10.17 מעודכן'!A:D,4,0)</f>
        <v>60800</v>
      </c>
      <c r="R76" s="26">
        <f>VLOOKUP(B:B,'[3]תקבולים 2017'!B:T,17,0)</f>
        <v>73000</v>
      </c>
      <c r="S76" s="26">
        <f>Q76/10*12</f>
        <v>72960</v>
      </c>
      <c r="T76" s="27">
        <v>75000</v>
      </c>
      <c r="U76" s="12">
        <f>IF(ISBLANK(B76),1,--OR(L76&gt;1,M76&gt;1,N76&gt;1))</f>
        <v>1</v>
      </c>
      <c r="V76" s="22">
        <f>+Q76-N76</f>
        <v>-47200</v>
      </c>
      <c r="W76" s="23">
        <f>P76-Q76</f>
        <v>29200</v>
      </c>
      <c r="X76" s="43"/>
    </row>
    <row r="77" spans="1:25" ht="24.95" customHeight="1">
      <c r="B77" s="28"/>
      <c r="C77" s="29"/>
      <c r="D77" s="29"/>
      <c r="E77" s="29" t="s">
        <v>100</v>
      </c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>
        <f t="shared" ref="P77:R77" si="26">SUM(P68:P76)</f>
        <v>8770000</v>
      </c>
      <c r="Q77" s="30">
        <f t="shared" si="26"/>
        <v>7622756.9299999997</v>
      </c>
      <c r="R77" s="30">
        <f t="shared" si="26"/>
        <v>9148000</v>
      </c>
      <c r="S77" s="30">
        <f t="shared" ref="S77" si="27">SUM(S68:S76)</f>
        <v>9147308.3159999996</v>
      </c>
      <c r="T77" s="31">
        <f>SUM(T68:T76)</f>
        <v>7749000</v>
      </c>
      <c r="U77" s="12"/>
      <c r="V77" s="22"/>
      <c r="W77" s="23"/>
      <c r="X77" s="50"/>
    </row>
    <row r="78" spans="1:25" s="39" customFormat="1" ht="24.95" hidden="1" customHeight="1">
      <c r="A78" s="39">
        <v>10</v>
      </c>
      <c r="B78" s="24">
        <v>1313200740</v>
      </c>
      <c r="C78" s="25" t="str">
        <f t="shared" ref="C78:C90" si="28">MID(B78,8,3)</f>
        <v>740</v>
      </c>
      <c r="D78" s="25" t="str">
        <f t="shared" ref="D78:D90" si="29">MID(B78,2,6)</f>
        <v>313200</v>
      </c>
      <c r="E78" s="25" t="s">
        <v>101</v>
      </c>
      <c r="F78" s="26">
        <v>10000</v>
      </c>
      <c r="G78" s="26">
        <v>25000</v>
      </c>
      <c r="H78" s="26">
        <f>G78*12/10</f>
        <v>30000</v>
      </c>
      <c r="I78" s="26">
        <f>H78</f>
        <v>30000</v>
      </c>
      <c r="J78" s="26" t="e">
        <f>VLOOKUP(B78,#REF!,6,0)</f>
        <v>#REF!</v>
      </c>
      <c r="K78" s="26" t="e">
        <f>+J78*1.71428571428571</f>
        <v>#REF!</v>
      </c>
      <c r="L78" s="26">
        <v>30000</v>
      </c>
      <c r="M78" s="26">
        <v>41000</v>
      </c>
      <c r="N78" s="26">
        <v>41000</v>
      </c>
      <c r="O78" s="26" t="e">
        <f>VLOOKUP(B78,[3]כספי!$A$1:$E$324,5,0)</f>
        <v>#N/A</v>
      </c>
      <c r="P78" s="26">
        <f>VLOOKUP(B:B,'[3]תקבולים 2017'!B:R,15,0)</f>
        <v>0</v>
      </c>
      <c r="Q78" s="26">
        <f>-VLOOKUP(B:B,'[3]דוח כספי 10.17 מעודכן'!A:D,4,0)</f>
        <v>0</v>
      </c>
      <c r="R78" s="26">
        <f>VLOOKUP(B:B,'[3]תקבולים 2017'!B:T,17,0)</f>
        <v>0</v>
      </c>
      <c r="S78" s="26">
        <f t="shared" ref="S78:S83" si="30">Q78/10*12</f>
        <v>0</v>
      </c>
      <c r="T78" s="27">
        <v>0</v>
      </c>
      <c r="U78" s="40">
        <f t="shared" ref="U78:U83" si="31">IF(ISBLANK(B78),1,--OR(L78&gt;1,M78&gt;1,N78&gt;1))</f>
        <v>1</v>
      </c>
      <c r="V78" s="41">
        <f t="shared" ref="V78:V83" si="32">+Q78-N78</f>
        <v>-41000</v>
      </c>
      <c r="W78" s="42">
        <f t="shared" ref="W78:W83" si="33">P78-Q78</f>
        <v>0</v>
      </c>
      <c r="X78" s="43"/>
    </row>
    <row r="79" spans="1:25" s="39" customFormat="1" ht="24.95" customHeight="1">
      <c r="A79" s="39">
        <v>9</v>
      </c>
      <c r="B79" s="24">
        <v>1313200920</v>
      </c>
      <c r="C79" s="25" t="str">
        <f t="shared" si="28"/>
        <v>920</v>
      </c>
      <c r="D79" s="25" t="str">
        <f t="shared" si="29"/>
        <v>313200</v>
      </c>
      <c r="E79" s="25" t="s">
        <v>94</v>
      </c>
      <c r="F79" s="26"/>
      <c r="G79" s="26">
        <v>69500.960000000006</v>
      </c>
      <c r="H79" s="26">
        <f>G79*12/10</f>
        <v>83401.152000000002</v>
      </c>
      <c r="I79" s="26">
        <f>H79</f>
        <v>83401.152000000002</v>
      </c>
      <c r="J79" s="26" t="e">
        <f>VLOOKUP(B79,#REF!,6,0)</f>
        <v>#REF!</v>
      </c>
      <c r="K79" s="26" t="e">
        <f>+J79*1.71428571428571</f>
        <v>#REF!</v>
      </c>
      <c r="L79" s="26">
        <v>83401</v>
      </c>
      <c r="M79" s="26">
        <v>0</v>
      </c>
      <c r="N79" s="26">
        <v>0</v>
      </c>
      <c r="O79" s="26">
        <v>0</v>
      </c>
      <c r="P79" s="26">
        <f>VLOOKUP(B:B,'[3]תקבולים 2017'!B:R,15,0)</f>
        <v>1019000</v>
      </c>
      <c r="Q79" s="26">
        <f>-VLOOKUP(B:B,'[3]דוח כספי 10.17 מעודכן'!A:D,4,0)</f>
        <v>761197.42</v>
      </c>
      <c r="R79" s="26">
        <v>980000.24800000002</v>
      </c>
      <c r="S79" s="26">
        <f t="shared" si="30"/>
        <v>913436.90399999998</v>
      </c>
      <c r="T79" s="27">
        <v>0</v>
      </c>
      <c r="U79" s="40">
        <f t="shared" si="31"/>
        <v>1</v>
      </c>
      <c r="V79" s="41">
        <f t="shared" si="32"/>
        <v>761197.42</v>
      </c>
      <c r="W79" s="42">
        <f t="shared" si="33"/>
        <v>257802.57999999996</v>
      </c>
      <c r="X79" s="45">
        <v>1312230920</v>
      </c>
    </row>
    <row r="80" spans="1:25" s="39" customFormat="1" ht="24.95" hidden="1" customHeight="1">
      <c r="A80" s="39">
        <v>9</v>
      </c>
      <c r="B80" s="24">
        <v>1313210920</v>
      </c>
      <c r="C80" s="25" t="str">
        <f t="shared" si="28"/>
        <v>920</v>
      </c>
      <c r="D80" s="25" t="str">
        <f t="shared" si="29"/>
        <v>313210</v>
      </c>
      <c r="E80" s="25" t="s">
        <v>97</v>
      </c>
      <c r="F80" s="26">
        <v>425000</v>
      </c>
      <c r="G80" s="26">
        <v>273419.33</v>
      </c>
      <c r="H80" s="26">
        <f>G80*12/10</f>
        <v>328103.196</v>
      </c>
      <c r="I80" s="26">
        <v>70000</v>
      </c>
      <c r="J80" s="26" t="e">
        <f>VLOOKUP(B80,#REF!,6,0)</f>
        <v>#REF!</v>
      </c>
      <c r="K80" s="26" t="e">
        <f>+J80*1.71428571428571</f>
        <v>#REF!</v>
      </c>
      <c r="L80" s="26">
        <v>70000</v>
      </c>
      <c r="M80" s="26">
        <v>60000</v>
      </c>
      <c r="N80" s="26">
        <v>80000</v>
      </c>
      <c r="O80" s="26">
        <f>VLOOKUP(B80,[3]כספי!$A$1:$E$324,5,0)</f>
        <v>287834.90000000002</v>
      </c>
      <c r="P80" s="26">
        <f>VLOOKUP(B:B,'[3]תקבולים 2017'!B:R,15,0)</f>
        <v>0</v>
      </c>
      <c r="Q80" s="26">
        <f>-VLOOKUP(B:B,'[3]דוח כספי 10.17 מעודכן'!A:D,4,0)</f>
        <v>-164342.71</v>
      </c>
      <c r="R80" s="26">
        <f>VLOOKUP(B:B,'[3]תקבולים 2017'!B:T,17,0)</f>
        <v>0</v>
      </c>
      <c r="S80" s="26">
        <f t="shared" si="30"/>
        <v>-197211.25200000001</v>
      </c>
      <c r="T80" s="27">
        <v>0</v>
      </c>
      <c r="U80" s="40">
        <f t="shared" si="31"/>
        <v>1</v>
      </c>
      <c r="V80" s="41">
        <f t="shared" si="32"/>
        <v>-244342.71</v>
      </c>
      <c r="W80" s="42">
        <f t="shared" si="33"/>
        <v>164342.71</v>
      </c>
      <c r="X80" s="45">
        <v>1312250920</v>
      </c>
    </row>
    <row r="81" spans="1:24" s="39" customFormat="1" ht="24.95" customHeight="1">
      <c r="A81" s="39">
        <v>9</v>
      </c>
      <c r="B81" s="24">
        <v>1313220920</v>
      </c>
      <c r="C81" s="25" t="str">
        <f t="shared" si="28"/>
        <v>920</v>
      </c>
      <c r="D81" s="25" t="str">
        <f t="shared" si="29"/>
        <v>313220</v>
      </c>
      <c r="E81" s="25" t="s">
        <v>102</v>
      </c>
      <c r="F81" s="26"/>
      <c r="G81" s="26"/>
      <c r="H81" s="26"/>
      <c r="I81" s="26">
        <v>450000</v>
      </c>
      <c r="J81" s="26" t="e">
        <f>VLOOKUP(B81,#REF!,6,0)</f>
        <v>#REF!</v>
      </c>
      <c r="K81" s="26" t="e">
        <f>+J81*1.71428571428571</f>
        <v>#REF!</v>
      </c>
      <c r="L81" s="26">
        <v>450000</v>
      </c>
      <c r="M81" s="26">
        <v>452000</v>
      </c>
      <c r="N81" s="26">
        <v>490000</v>
      </c>
      <c r="O81" s="26">
        <f>VLOOKUP(B81,[3]כספי!$A$1:$E$324,5,0)</f>
        <v>55297.2</v>
      </c>
      <c r="P81" s="26">
        <f>VLOOKUP(B:B,'[3]תקבולים 2017'!B:R,15,0)</f>
        <v>25000</v>
      </c>
      <c r="Q81" s="26">
        <f>-VLOOKUP(B:B,'[3]דוח כספי 10.17 מעודכן'!A:D,4,0)</f>
        <v>0</v>
      </c>
      <c r="R81" s="26">
        <f>VLOOKUP(B:B,'[3]תקבולים 2017'!B:T,17,0)</f>
        <v>0</v>
      </c>
      <c r="S81" s="26">
        <f t="shared" si="30"/>
        <v>0</v>
      </c>
      <c r="T81" s="27">
        <v>0</v>
      </c>
      <c r="U81" s="40">
        <f t="shared" si="31"/>
        <v>1</v>
      </c>
      <c r="V81" s="41">
        <f t="shared" si="32"/>
        <v>-490000</v>
      </c>
      <c r="W81" s="42">
        <f t="shared" si="33"/>
        <v>25000</v>
      </c>
      <c r="X81" s="43"/>
    </row>
    <row r="82" spans="1:24" s="39" customFormat="1" ht="24.95" customHeight="1">
      <c r="A82" s="39">
        <v>9</v>
      </c>
      <c r="B82" s="24">
        <v>1313230920</v>
      </c>
      <c r="C82" s="25" t="str">
        <f t="shared" si="28"/>
        <v>920</v>
      </c>
      <c r="D82" s="25" t="str">
        <f t="shared" si="29"/>
        <v>313230</v>
      </c>
      <c r="E82" s="25" t="s">
        <v>103</v>
      </c>
      <c r="F82" s="26"/>
      <c r="G82" s="26"/>
      <c r="H82" s="26"/>
      <c r="I82" s="26">
        <v>200000</v>
      </c>
      <c r="J82" s="26" t="e">
        <f>VLOOKUP(B82,#REF!,6,0)</f>
        <v>#REF!</v>
      </c>
      <c r="K82" s="26">
        <v>200000</v>
      </c>
      <c r="L82" s="26">
        <v>200000</v>
      </c>
      <c r="M82" s="26">
        <v>76000</v>
      </c>
      <c r="N82" s="26">
        <v>100000</v>
      </c>
      <c r="O82" s="26" t="e">
        <f>VLOOKUP(B82,[3]כספי!$A$1:$E$324,5,0)</f>
        <v>#N/A</v>
      </c>
      <c r="P82" s="26">
        <f>VLOOKUP(B:B,'[3]תקבולים 2017'!B:R,15,0)</f>
        <v>11000</v>
      </c>
      <c r="Q82" s="26">
        <f>-VLOOKUP(B:B,'[3]דוח כספי 10.17 מעודכן'!A:D,4,0)</f>
        <v>0</v>
      </c>
      <c r="R82" s="26">
        <f>VLOOKUP(B:B,'[3]תקבולים 2017'!B:T,17,0)</f>
        <v>0</v>
      </c>
      <c r="S82" s="26">
        <f t="shared" si="30"/>
        <v>0</v>
      </c>
      <c r="T82" s="27">
        <v>0</v>
      </c>
      <c r="U82" s="40">
        <f t="shared" si="31"/>
        <v>1</v>
      </c>
      <c r="V82" s="41">
        <f t="shared" si="32"/>
        <v>-100000</v>
      </c>
      <c r="W82" s="42">
        <f t="shared" si="33"/>
        <v>11000</v>
      </c>
      <c r="X82" s="43"/>
    </row>
    <row r="83" spans="1:24" s="39" customFormat="1" ht="24.95" customHeight="1">
      <c r="A83" s="39">
        <v>9</v>
      </c>
      <c r="B83" s="24">
        <v>1313240920</v>
      </c>
      <c r="C83" s="25" t="str">
        <f t="shared" si="28"/>
        <v>920</v>
      </c>
      <c r="D83" s="25" t="str">
        <f t="shared" si="29"/>
        <v>313240</v>
      </c>
      <c r="E83" s="25" t="s">
        <v>95</v>
      </c>
      <c r="F83" s="26"/>
      <c r="G83" s="26"/>
      <c r="H83" s="26"/>
      <c r="I83" s="26">
        <f>6750*12</f>
        <v>81000</v>
      </c>
      <c r="J83" s="26">
        <v>47325</v>
      </c>
      <c r="K83" s="26">
        <f>+J83*1.71428571428571</f>
        <v>81128.571428571231</v>
      </c>
      <c r="L83" s="26">
        <v>81000</v>
      </c>
      <c r="M83" s="26">
        <v>80000</v>
      </c>
      <c r="N83" s="26">
        <v>80000</v>
      </c>
      <c r="O83" s="26">
        <f>VLOOKUP(B83,[3]כספי!$A$1:$E$324,5,0)</f>
        <v>-3420.73</v>
      </c>
      <c r="P83" s="26">
        <f>VLOOKUP(B:B,'[3]תקבולים 2017'!B:R,15,0)</f>
        <v>0</v>
      </c>
      <c r="Q83" s="26">
        <f>-VLOOKUP(B:B,'[3]דוח כספי 10.17 מעודכן'!A:D,4,0)</f>
        <v>909805</v>
      </c>
      <c r="R83" s="26">
        <v>910000</v>
      </c>
      <c r="S83" s="26">
        <f t="shared" si="30"/>
        <v>1091766</v>
      </c>
      <c r="T83" s="27">
        <v>0</v>
      </c>
      <c r="U83" s="40">
        <f t="shared" si="31"/>
        <v>1</v>
      </c>
      <c r="V83" s="41">
        <f t="shared" si="32"/>
        <v>829805</v>
      </c>
      <c r="W83" s="42">
        <f t="shared" si="33"/>
        <v>-909805</v>
      </c>
      <c r="X83" s="45">
        <v>1319110920</v>
      </c>
    </row>
    <row r="84" spans="1:24" ht="24.95" customHeight="1">
      <c r="A84" s="1">
        <v>9</v>
      </c>
      <c r="B84" s="24">
        <v>1313250092</v>
      </c>
      <c r="C84" s="25" t="str">
        <f t="shared" si="28"/>
        <v>092</v>
      </c>
      <c r="D84" s="25" t="str">
        <f t="shared" si="29"/>
        <v>313250</v>
      </c>
      <c r="E84" s="25" t="s">
        <v>104</v>
      </c>
      <c r="F84" s="26"/>
      <c r="G84" s="26"/>
      <c r="H84" s="26"/>
      <c r="I84" s="26"/>
      <c r="J84" s="26"/>
      <c r="K84" s="26"/>
      <c r="L84" s="26"/>
      <c r="M84" s="26"/>
      <c r="N84" s="26"/>
      <c r="O84" s="44"/>
      <c r="P84" s="26">
        <v>0</v>
      </c>
      <c r="Q84" s="26">
        <v>0</v>
      </c>
      <c r="R84" s="26">
        <v>0</v>
      </c>
      <c r="S84" s="26"/>
      <c r="T84" s="27">
        <v>89000</v>
      </c>
      <c r="U84" s="51"/>
      <c r="V84" s="52"/>
      <c r="W84" s="53"/>
      <c r="X84" s="45">
        <v>1317820920</v>
      </c>
    </row>
    <row r="85" spans="1:24" ht="24.95" customHeight="1">
      <c r="A85" s="1">
        <v>9</v>
      </c>
      <c r="B85" s="24">
        <v>1313260920</v>
      </c>
      <c r="C85" s="25" t="str">
        <f t="shared" si="28"/>
        <v>920</v>
      </c>
      <c r="D85" s="25" t="str">
        <f t="shared" si="29"/>
        <v>313260</v>
      </c>
      <c r="E85" s="25" t="s">
        <v>105</v>
      </c>
      <c r="F85" s="26"/>
      <c r="G85" s="26"/>
      <c r="H85" s="26"/>
      <c r="I85" s="26"/>
      <c r="J85" s="26"/>
      <c r="K85" s="26"/>
      <c r="L85" s="26"/>
      <c r="M85" s="26"/>
      <c r="N85" s="26"/>
      <c r="O85" s="44"/>
      <c r="P85" s="26">
        <v>0</v>
      </c>
      <c r="Q85" s="26">
        <v>0</v>
      </c>
      <c r="R85" s="26">
        <v>0</v>
      </c>
      <c r="S85" s="26"/>
      <c r="T85" s="27">
        <v>17000</v>
      </c>
      <c r="U85" s="46"/>
      <c r="V85" s="47"/>
      <c r="W85" s="48"/>
      <c r="X85" s="45">
        <v>1317500920</v>
      </c>
    </row>
    <row r="86" spans="1:24" ht="24.95" customHeight="1">
      <c r="A86" s="1">
        <v>9</v>
      </c>
      <c r="B86" s="24">
        <v>1313270920</v>
      </c>
      <c r="C86" s="25" t="str">
        <f t="shared" si="28"/>
        <v>920</v>
      </c>
      <c r="D86" s="25" t="str">
        <f t="shared" si="29"/>
        <v>313270</v>
      </c>
      <c r="E86" s="25" t="s">
        <v>106</v>
      </c>
      <c r="F86" s="26"/>
      <c r="G86" s="26"/>
      <c r="H86" s="26"/>
      <c r="I86" s="26"/>
      <c r="J86" s="26"/>
      <c r="K86" s="26"/>
      <c r="L86" s="26"/>
      <c r="M86" s="26"/>
      <c r="N86" s="26"/>
      <c r="O86" s="44"/>
      <c r="P86" s="26">
        <v>0</v>
      </c>
      <c r="Q86" s="26">
        <v>0</v>
      </c>
      <c r="R86" s="26">
        <v>0</v>
      </c>
      <c r="S86" s="26">
        <v>0</v>
      </c>
      <c r="T86" s="54">
        <v>10000</v>
      </c>
      <c r="U86" s="46"/>
      <c r="V86" s="47"/>
      <c r="W86" s="48"/>
      <c r="X86" s="55">
        <v>1313360920</v>
      </c>
    </row>
    <row r="87" spans="1:24" ht="24.95" customHeight="1">
      <c r="A87" s="1">
        <v>9</v>
      </c>
      <c r="B87" s="24">
        <v>1313280920</v>
      </c>
      <c r="C87" s="25" t="str">
        <f t="shared" si="28"/>
        <v>920</v>
      </c>
      <c r="D87" s="25" t="str">
        <f t="shared" si="29"/>
        <v>313280</v>
      </c>
      <c r="E87" s="25" t="s">
        <v>107</v>
      </c>
      <c r="F87" s="26"/>
      <c r="G87" s="26"/>
      <c r="H87" s="26"/>
      <c r="I87" s="26"/>
      <c r="J87" s="26"/>
      <c r="K87" s="26"/>
      <c r="L87" s="26"/>
      <c r="M87" s="26"/>
      <c r="N87" s="26"/>
      <c r="O87" s="44"/>
      <c r="P87" s="26">
        <v>0</v>
      </c>
      <c r="Q87" s="26">
        <v>0</v>
      </c>
      <c r="R87" s="26">
        <v>0</v>
      </c>
      <c r="S87" s="26">
        <v>0</v>
      </c>
      <c r="T87" s="27">
        <v>32000</v>
      </c>
      <c r="U87" s="56"/>
      <c r="V87" s="57"/>
      <c r="W87" s="58"/>
      <c r="X87" s="45">
        <v>1317566920</v>
      </c>
    </row>
    <row r="88" spans="1:24" ht="24.95" customHeight="1">
      <c r="A88" s="1">
        <v>9</v>
      </c>
      <c r="B88" s="24">
        <v>1313290920</v>
      </c>
      <c r="C88" s="25" t="str">
        <f t="shared" si="28"/>
        <v>920</v>
      </c>
      <c r="D88" s="25" t="str">
        <f t="shared" si="29"/>
        <v>313290</v>
      </c>
      <c r="E88" s="25" t="s">
        <v>108</v>
      </c>
      <c r="F88" s="26"/>
      <c r="G88" s="26"/>
      <c r="H88" s="26"/>
      <c r="I88" s="26"/>
      <c r="J88" s="26"/>
      <c r="K88" s="26"/>
      <c r="L88" s="26"/>
      <c r="M88" s="26"/>
      <c r="N88" s="26"/>
      <c r="O88" s="44"/>
      <c r="P88" s="26">
        <v>0</v>
      </c>
      <c r="Q88" s="26">
        <v>0</v>
      </c>
      <c r="R88" s="26">
        <v>0</v>
      </c>
      <c r="S88" s="26"/>
      <c r="T88" s="27">
        <v>242000</v>
      </c>
      <c r="U88" s="56"/>
      <c r="V88" s="57"/>
      <c r="W88" s="58"/>
      <c r="X88" s="45">
        <v>1317830920</v>
      </c>
    </row>
    <row r="89" spans="1:24" ht="24.95" customHeight="1">
      <c r="A89" s="1">
        <v>9</v>
      </c>
      <c r="B89" s="24">
        <v>1313292920</v>
      </c>
      <c r="C89" s="25" t="str">
        <f t="shared" si="28"/>
        <v>920</v>
      </c>
      <c r="D89" s="25" t="str">
        <f t="shared" si="29"/>
        <v>313292</v>
      </c>
      <c r="E89" s="25" t="s">
        <v>109</v>
      </c>
      <c r="F89" s="26"/>
      <c r="G89" s="26"/>
      <c r="H89" s="26"/>
      <c r="I89" s="26"/>
      <c r="J89" s="26"/>
      <c r="K89" s="26"/>
      <c r="L89" s="26"/>
      <c r="M89" s="26"/>
      <c r="N89" s="26"/>
      <c r="O89" s="44"/>
      <c r="P89" s="26">
        <v>0</v>
      </c>
      <c r="Q89" s="26">
        <v>0</v>
      </c>
      <c r="R89" s="26">
        <v>0</v>
      </c>
      <c r="S89" s="26">
        <v>0</v>
      </c>
      <c r="T89" s="27">
        <v>5000</v>
      </c>
      <c r="U89" s="51"/>
      <c r="V89" s="52"/>
      <c r="W89" s="53"/>
      <c r="X89" s="59">
        <v>1317500920</v>
      </c>
    </row>
    <row r="90" spans="1:24" s="39" customFormat="1" ht="24.95" customHeight="1">
      <c r="A90" s="39">
        <v>9</v>
      </c>
      <c r="B90" s="24">
        <v>1313300920</v>
      </c>
      <c r="C90" s="25" t="str">
        <f t="shared" si="28"/>
        <v>920</v>
      </c>
      <c r="D90" s="25" t="str">
        <f t="shared" si="29"/>
        <v>313300</v>
      </c>
      <c r="E90" s="25" t="s">
        <v>110</v>
      </c>
      <c r="F90" s="26">
        <v>620000</v>
      </c>
      <c r="G90" s="26">
        <f>35521.74+200000</f>
        <v>235521.74</v>
      </c>
      <c r="H90" s="26">
        <f>+G90</f>
        <v>235521.74</v>
      </c>
      <c r="I90" s="26">
        <v>156000</v>
      </c>
      <c r="J90" s="26" t="e">
        <f>VLOOKUP(B90,#REF!,6,0)</f>
        <v>#REF!</v>
      </c>
      <c r="K90" s="26" t="e">
        <f>+J90*1.71428571428571</f>
        <v>#REF!</v>
      </c>
      <c r="L90" s="26">
        <v>100000</v>
      </c>
      <c r="M90" s="26">
        <v>167000</v>
      </c>
      <c r="N90" s="26">
        <v>167000</v>
      </c>
      <c r="O90" s="26">
        <f>VLOOKUP(B90,[3]כספי!$A$1:$E$324,5,0)</f>
        <v>310244.73</v>
      </c>
      <c r="P90" s="26">
        <f>VLOOKUP(B:B,'[3]תקבולים 2017'!B:R,15,0)</f>
        <v>1604000</v>
      </c>
      <c r="Q90" s="26">
        <f>-VLOOKUP(B:B,'[3]דוח כספי 10.17 מעודכן'!A:D,4,0)</f>
        <v>1200705.96</v>
      </c>
      <c r="R90" s="26">
        <f>VLOOKUP(B:B,'[3]תקבולים 2017'!B:T,17,0)</f>
        <v>1441000</v>
      </c>
      <c r="S90" s="26">
        <f>Q90/10*12</f>
        <v>1440847.1519999998</v>
      </c>
      <c r="T90" s="27">
        <v>0</v>
      </c>
      <c r="U90" s="40">
        <f>IF(ISBLANK(B90),1,--OR(L90&gt;1,M90&gt;1,N90&gt;1))</f>
        <v>1</v>
      </c>
      <c r="V90" s="41">
        <f>+Q90-N90</f>
        <v>1033705.96</v>
      </c>
      <c r="W90" s="42">
        <f>P90-Q90</f>
        <v>403294.04000000004</v>
      </c>
      <c r="X90" s="45">
        <v>1312222920</v>
      </c>
    </row>
    <row r="91" spans="1:24" ht="24.95" customHeight="1">
      <c r="A91" s="1">
        <v>9</v>
      </c>
      <c r="B91" s="24">
        <v>1313301920</v>
      </c>
      <c r="C91" s="25" t="s">
        <v>70</v>
      </c>
      <c r="D91" s="25" t="s">
        <v>111</v>
      </c>
      <c r="E91" s="25" t="s">
        <v>112</v>
      </c>
      <c r="F91" s="26"/>
      <c r="G91" s="26"/>
      <c r="H91" s="26"/>
      <c r="I91" s="26"/>
      <c r="J91" s="26"/>
      <c r="K91" s="26"/>
      <c r="L91" s="26"/>
      <c r="M91" s="26"/>
      <c r="N91" s="26"/>
      <c r="O91" s="44"/>
      <c r="P91" s="26">
        <v>0</v>
      </c>
      <c r="Q91" s="26">
        <v>0</v>
      </c>
      <c r="R91" s="26">
        <v>0</v>
      </c>
      <c r="S91" s="26">
        <v>0</v>
      </c>
      <c r="T91" s="27">
        <v>1301000</v>
      </c>
      <c r="U91" s="46"/>
      <c r="V91" s="47"/>
      <c r="W91" s="48"/>
      <c r="X91" s="45">
        <v>1313330920</v>
      </c>
    </row>
    <row r="92" spans="1:24" ht="24.95" customHeight="1">
      <c r="A92" s="1">
        <v>9</v>
      </c>
      <c r="B92" s="24">
        <v>1313302920</v>
      </c>
      <c r="C92" s="25" t="s">
        <v>70</v>
      </c>
      <c r="D92" s="25" t="s">
        <v>111</v>
      </c>
      <c r="E92" s="25" t="s">
        <v>113</v>
      </c>
      <c r="F92" s="26"/>
      <c r="G92" s="26"/>
      <c r="H92" s="26"/>
      <c r="I92" s="26"/>
      <c r="J92" s="26"/>
      <c r="K92" s="26"/>
      <c r="L92" s="26"/>
      <c r="M92" s="26"/>
      <c r="N92" s="26"/>
      <c r="O92" s="44"/>
      <c r="P92" s="26">
        <v>0</v>
      </c>
      <c r="Q92" s="26">
        <v>0</v>
      </c>
      <c r="R92" s="26">
        <v>0</v>
      </c>
      <c r="S92" s="26">
        <v>0</v>
      </c>
      <c r="T92" s="27">
        <v>6000</v>
      </c>
      <c r="U92" s="46"/>
      <c r="V92" s="47"/>
      <c r="W92" s="48"/>
      <c r="X92" s="45">
        <v>1317730920</v>
      </c>
    </row>
    <row r="93" spans="1:24" ht="24.95" customHeight="1">
      <c r="A93" s="1">
        <v>9</v>
      </c>
      <c r="B93" s="24">
        <v>1313303920</v>
      </c>
      <c r="C93" s="25" t="s">
        <v>70</v>
      </c>
      <c r="D93" s="25" t="s">
        <v>111</v>
      </c>
      <c r="E93" s="25" t="s">
        <v>114</v>
      </c>
      <c r="F93" s="26"/>
      <c r="G93" s="26"/>
      <c r="H93" s="26"/>
      <c r="I93" s="26"/>
      <c r="J93" s="26"/>
      <c r="K93" s="26"/>
      <c r="L93" s="26"/>
      <c r="M93" s="26"/>
      <c r="N93" s="26"/>
      <c r="O93" s="44"/>
      <c r="P93" s="26">
        <v>0</v>
      </c>
      <c r="Q93" s="26">
        <v>0</v>
      </c>
      <c r="R93" s="26">
        <v>0</v>
      </c>
      <c r="S93" s="26">
        <v>0</v>
      </c>
      <c r="T93" s="27">
        <v>330000</v>
      </c>
      <c r="U93" s="46"/>
      <c r="V93" s="47"/>
      <c r="W93" s="48"/>
      <c r="X93" s="45">
        <v>1313340920</v>
      </c>
    </row>
    <row r="94" spans="1:24" ht="24.95" customHeight="1">
      <c r="A94" s="1">
        <v>9</v>
      </c>
      <c r="B94" s="24">
        <v>1313304920</v>
      </c>
      <c r="C94" s="60" t="s">
        <v>70</v>
      </c>
      <c r="D94" s="60" t="s">
        <v>111</v>
      </c>
      <c r="E94" s="25" t="s">
        <v>115</v>
      </c>
      <c r="F94" s="26"/>
      <c r="G94" s="26"/>
      <c r="H94" s="26"/>
      <c r="I94" s="26"/>
      <c r="J94" s="26"/>
      <c r="K94" s="26"/>
      <c r="L94" s="26"/>
      <c r="M94" s="26"/>
      <c r="N94" s="26"/>
      <c r="O94" s="44"/>
      <c r="P94" s="26">
        <v>0</v>
      </c>
      <c r="Q94" s="26">
        <v>0</v>
      </c>
      <c r="R94" s="26">
        <v>0</v>
      </c>
      <c r="S94" s="26">
        <v>0</v>
      </c>
      <c r="T94" s="27">
        <v>437000</v>
      </c>
      <c r="U94" s="46"/>
      <c r="V94" s="47"/>
      <c r="W94" s="48"/>
      <c r="X94" s="59">
        <v>1313350920</v>
      </c>
    </row>
    <row r="95" spans="1:24" s="39" customFormat="1" ht="24.95" customHeight="1">
      <c r="A95" s="39">
        <v>9</v>
      </c>
      <c r="B95" s="24">
        <v>1313330920</v>
      </c>
      <c r="C95" s="25" t="str">
        <f t="shared" ref="C95:C114" si="34">MID(B95,8,3)</f>
        <v>920</v>
      </c>
      <c r="D95" s="25" t="str">
        <f t="shared" ref="D95:D114" si="35">MID(B95,2,6)</f>
        <v>313330</v>
      </c>
      <c r="E95" s="25" t="s">
        <v>112</v>
      </c>
      <c r="F95" s="26">
        <v>135000</v>
      </c>
      <c r="G95" s="26">
        <v>87115.63</v>
      </c>
      <c r="H95" s="26">
        <f>G95*12/10</f>
        <v>104538.75600000001</v>
      </c>
      <c r="I95" s="26">
        <f>H95</f>
        <v>104538.75600000001</v>
      </c>
      <c r="J95" s="26" t="e">
        <f>VLOOKUP(B95,#REF!,6,0)</f>
        <v>#REF!</v>
      </c>
      <c r="K95" s="26" t="e">
        <f>+J95*1.71428571428571</f>
        <v>#REF!</v>
      </c>
      <c r="L95" s="26">
        <v>35000</v>
      </c>
      <c r="M95" s="26">
        <v>32300</v>
      </c>
      <c r="N95" s="26">
        <v>32300</v>
      </c>
      <c r="O95" s="26" t="e">
        <f>VLOOKUP(B95,[3]כספי!$A$1:$E$324,5,0)</f>
        <v>#N/A</v>
      </c>
      <c r="P95" s="26">
        <f>VLOOKUP(B:B,'[3]תקבולים 2017'!B:R,15,0)</f>
        <v>0</v>
      </c>
      <c r="Q95" s="26">
        <f>-VLOOKUP(B:B,'[3]דוח כספי 10.17 מעודכן'!A:D,4,0)</f>
        <v>1083874.8700000001</v>
      </c>
      <c r="R95" s="26">
        <f>VLOOKUP(B:B,'[3]תקבולים 2017'!B:T,17,0)</f>
        <v>1301000</v>
      </c>
      <c r="S95" s="26">
        <f t="shared" ref="S95:S100" si="36">Q95/10*12</f>
        <v>1300649.844</v>
      </c>
      <c r="T95" s="27">
        <v>0</v>
      </c>
      <c r="U95" s="40">
        <f>IF(ISBLANK(B95),1,--OR(L95&gt;1,M95&gt;1,N95&gt;1))</f>
        <v>1</v>
      </c>
      <c r="V95" s="41">
        <f>+Q95-N95</f>
        <v>1051574.8700000001</v>
      </c>
      <c r="W95" s="42">
        <f t="shared" ref="W95:W100" si="37">P95-Q95</f>
        <v>-1083874.8700000001</v>
      </c>
      <c r="X95" s="45">
        <v>1313301920</v>
      </c>
    </row>
    <row r="96" spans="1:24" s="39" customFormat="1" ht="24.95" customHeight="1">
      <c r="A96" s="39">
        <v>9</v>
      </c>
      <c r="B96" s="24">
        <v>1313340920</v>
      </c>
      <c r="C96" s="25" t="str">
        <f t="shared" si="34"/>
        <v>920</v>
      </c>
      <c r="D96" s="25" t="str">
        <f t="shared" si="35"/>
        <v>313340</v>
      </c>
      <c r="E96" s="25" t="s">
        <v>114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>
        <f>VLOOKUP(B:B,'[3]תקבולים 2017'!B:R,15,0)</f>
        <v>1000</v>
      </c>
      <c r="Q96" s="26">
        <f>-VLOOKUP(B:B,'[3]דוח כספי 10.17 מעודכן'!A:D,4,0)</f>
        <v>273910.03999999998</v>
      </c>
      <c r="R96" s="26">
        <f>VLOOKUP(B:B,'[3]תקבולים 2017'!B:T,17,0)</f>
        <v>329000</v>
      </c>
      <c r="S96" s="26">
        <f t="shared" si="36"/>
        <v>328692.04799999995</v>
      </c>
      <c r="T96" s="27">
        <v>0</v>
      </c>
      <c r="U96" s="40"/>
      <c r="V96" s="41"/>
      <c r="W96" s="42">
        <f t="shared" si="37"/>
        <v>-272910.03999999998</v>
      </c>
      <c r="X96" s="45">
        <v>1313303920</v>
      </c>
    </row>
    <row r="97" spans="1:24" s="39" customFormat="1" ht="24.95" customHeight="1">
      <c r="A97" s="39">
        <v>9</v>
      </c>
      <c r="B97" s="24">
        <v>1313350920</v>
      </c>
      <c r="C97" s="25" t="str">
        <f t="shared" si="34"/>
        <v>920</v>
      </c>
      <c r="D97" s="25" t="str">
        <f t="shared" si="35"/>
        <v>313350</v>
      </c>
      <c r="E97" s="25" t="s">
        <v>115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>
        <f>VLOOKUP(B:B,'[3]תקבולים 2017'!B:R,15,0)</f>
        <v>0</v>
      </c>
      <c r="Q97" s="26">
        <f>-VLOOKUP(B:B,'[3]דוח כספי 10.17 מעודכן'!A:D,4,0)</f>
        <v>363771.1</v>
      </c>
      <c r="R97" s="26">
        <f>VLOOKUP(B:B,'[3]תקבולים 2017'!B:T,17,0)</f>
        <v>437000</v>
      </c>
      <c r="S97" s="26">
        <f t="shared" si="36"/>
        <v>436525.32</v>
      </c>
      <c r="T97" s="27">
        <v>0</v>
      </c>
      <c r="U97" s="40"/>
      <c r="V97" s="41"/>
      <c r="W97" s="42">
        <f t="shared" si="37"/>
        <v>-363771.1</v>
      </c>
      <c r="X97" s="45">
        <v>1313304920</v>
      </c>
    </row>
    <row r="98" spans="1:24" s="39" customFormat="1" ht="24.95" customHeight="1">
      <c r="A98" s="39">
        <v>9</v>
      </c>
      <c r="B98" s="24">
        <v>1313360920</v>
      </c>
      <c r="C98" s="25" t="str">
        <f t="shared" si="34"/>
        <v>920</v>
      </c>
      <c r="D98" s="25" t="str">
        <f t="shared" si="35"/>
        <v>313360</v>
      </c>
      <c r="E98" s="25" t="s">
        <v>106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>
        <f>VLOOKUP(B:B,'[3]תקבולים 2017'!B:R,15,0)</f>
        <v>1000</v>
      </c>
      <c r="Q98" s="26">
        <f>-VLOOKUP(B:B,'[3]דוח כספי 10.17 מעודכן'!A:D,4,0)</f>
        <v>7444.02</v>
      </c>
      <c r="R98" s="26">
        <f>VLOOKUP(B:B,'[3]תקבולים 2017'!B:T,17,0)</f>
        <v>9000</v>
      </c>
      <c r="S98" s="26">
        <f t="shared" si="36"/>
        <v>8932.8240000000005</v>
      </c>
      <c r="T98" s="27">
        <v>0</v>
      </c>
      <c r="U98" s="40"/>
      <c r="V98" s="41"/>
      <c r="W98" s="42">
        <f t="shared" si="37"/>
        <v>-6444.02</v>
      </c>
      <c r="X98" s="45">
        <v>1313270920</v>
      </c>
    </row>
    <row r="99" spans="1:24" ht="24.95" hidden="1" customHeight="1">
      <c r="A99" s="1">
        <v>9</v>
      </c>
      <c r="B99" s="24">
        <v>1313400920</v>
      </c>
      <c r="C99" s="25" t="str">
        <f t="shared" si="34"/>
        <v>920</v>
      </c>
      <c r="D99" s="25" t="str">
        <f t="shared" si="35"/>
        <v>313400</v>
      </c>
      <c r="E99" s="25" t="s">
        <v>116</v>
      </c>
      <c r="F99" s="26">
        <v>810000</v>
      </c>
      <c r="G99" s="26">
        <f>50000+639942.39</f>
        <v>689942.39</v>
      </c>
      <c r="H99" s="26">
        <f>G99*12/10</f>
        <v>827930.86800000002</v>
      </c>
      <c r="I99" s="26">
        <f>H99</f>
        <v>827930.86800000002</v>
      </c>
      <c r="J99" s="26" t="e">
        <f>VLOOKUP(B99,#REF!,6,0)</f>
        <v>#REF!</v>
      </c>
      <c r="K99" s="26" t="e">
        <f>+J99*1.71428571428571</f>
        <v>#REF!</v>
      </c>
      <c r="L99" s="26">
        <v>815000</v>
      </c>
      <c r="M99" s="26">
        <v>807000</v>
      </c>
      <c r="N99" s="26">
        <v>840000</v>
      </c>
      <c r="O99" s="26">
        <v>540000</v>
      </c>
      <c r="P99" s="26">
        <f>VLOOKUP(B:B,'[3]תקבולים 2017'!B:R,15,0)</f>
        <v>0</v>
      </c>
      <c r="Q99" s="26">
        <f>-VLOOKUP(B:B,'[3]דוח כספי 10.17 מעודכן'!A:D,4,0)</f>
        <v>0</v>
      </c>
      <c r="R99" s="26">
        <f>VLOOKUP(B:B,'[3]תקבולים 2017'!B:T,17,0)</f>
        <v>0</v>
      </c>
      <c r="S99" s="26">
        <f t="shared" si="36"/>
        <v>0</v>
      </c>
      <c r="T99" s="27">
        <v>0</v>
      </c>
      <c r="U99" s="12">
        <f>IF(ISBLANK(B99),1,--OR(L99&gt;1,M99&gt;1,N99&gt;1))</f>
        <v>1</v>
      </c>
      <c r="V99" s="22">
        <f>+Q99-N99</f>
        <v>-840000</v>
      </c>
      <c r="W99" s="23">
        <f t="shared" si="37"/>
        <v>0</v>
      </c>
      <c r="X99" s="43"/>
    </row>
    <row r="100" spans="1:24" ht="24.95" customHeight="1">
      <c r="A100" s="1">
        <v>10</v>
      </c>
      <c r="B100" s="18">
        <v>1313410290</v>
      </c>
      <c r="C100" s="19" t="str">
        <f t="shared" si="34"/>
        <v>290</v>
      </c>
      <c r="D100" s="19" t="str">
        <f t="shared" si="35"/>
        <v>313410</v>
      </c>
      <c r="E100" s="19" t="s">
        <v>117</v>
      </c>
      <c r="F100" s="20"/>
      <c r="G100" s="20"/>
      <c r="H100" s="20"/>
      <c r="I100" s="20"/>
      <c r="J100" s="20"/>
      <c r="K100" s="20"/>
      <c r="L100" s="20"/>
      <c r="M100" s="20"/>
      <c r="N100" s="20"/>
      <c r="O100" s="20" t="e">
        <f>VLOOKUP(B100,[3]כספי!$A$1:$E$324,5,0)</f>
        <v>#N/A</v>
      </c>
      <c r="P100" s="20">
        <f>VLOOKUP(B:B,'[3]תקבולים 2017'!B:R,15,0)</f>
        <v>0</v>
      </c>
      <c r="Q100" s="20">
        <f>-VLOOKUP(B:B,'[3]דוח כספי 10.17 מעודכן'!A:D,4,0)</f>
        <v>3900</v>
      </c>
      <c r="R100" s="20">
        <f>VLOOKUP(B:B,'[3]תקבולים 2017'!B:T,17,0)</f>
        <v>5000</v>
      </c>
      <c r="S100" s="20">
        <f t="shared" si="36"/>
        <v>4680</v>
      </c>
      <c r="T100" s="21">
        <v>5000</v>
      </c>
      <c r="U100" s="12"/>
      <c r="V100" s="22">
        <f>+Q100-N100</f>
        <v>3900</v>
      </c>
      <c r="W100" s="23">
        <f t="shared" si="37"/>
        <v>-3900</v>
      </c>
      <c r="X100" s="43"/>
    </row>
    <row r="101" spans="1:24" ht="24.95" customHeight="1">
      <c r="A101" s="1">
        <v>9</v>
      </c>
      <c r="B101" s="24">
        <v>1313410920</v>
      </c>
      <c r="C101" s="25" t="str">
        <f t="shared" si="34"/>
        <v>920</v>
      </c>
      <c r="D101" s="25" t="str">
        <f t="shared" si="35"/>
        <v>313410</v>
      </c>
      <c r="E101" s="25" t="s">
        <v>118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44"/>
      <c r="P101" s="26">
        <v>0</v>
      </c>
      <c r="Q101" s="26">
        <v>0</v>
      </c>
      <c r="R101" s="26">
        <v>0</v>
      </c>
      <c r="S101" s="26">
        <v>0</v>
      </c>
      <c r="T101" s="27">
        <v>214000</v>
      </c>
      <c r="U101" s="46"/>
      <c r="V101" s="47"/>
      <c r="W101" s="48"/>
      <c r="X101" s="45">
        <v>1315150920</v>
      </c>
    </row>
    <row r="102" spans="1:24" ht="24.95" customHeight="1">
      <c r="A102" s="1">
        <v>9</v>
      </c>
      <c r="B102" s="24">
        <v>1313411920</v>
      </c>
      <c r="C102" s="25" t="str">
        <f t="shared" si="34"/>
        <v>920</v>
      </c>
      <c r="D102" s="25" t="str">
        <f t="shared" si="35"/>
        <v>313411</v>
      </c>
      <c r="E102" s="25" t="s">
        <v>119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44"/>
      <c r="P102" s="26">
        <v>0</v>
      </c>
      <c r="Q102" s="26">
        <v>0</v>
      </c>
      <c r="R102" s="26">
        <v>0</v>
      </c>
      <c r="S102" s="26">
        <v>0</v>
      </c>
      <c r="T102" s="27">
        <v>8000</v>
      </c>
      <c r="U102" s="46"/>
      <c r="V102" s="47"/>
      <c r="W102" s="48"/>
      <c r="X102" s="45">
        <v>1315150920</v>
      </c>
    </row>
    <row r="103" spans="1:24" ht="24.95" customHeight="1">
      <c r="A103" s="1">
        <v>9</v>
      </c>
      <c r="B103" s="24">
        <v>1313411920</v>
      </c>
      <c r="C103" s="25" t="str">
        <f t="shared" si="34"/>
        <v>920</v>
      </c>
      <c r="D103" s="25" t="str">
        <f t="shared" si="35"/>
        <v>313411</v>
      </c>
      <c r="E103" s="25" t="s">
        <v>120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44"/>
      <c r="P103" s="26">
        <v>0</v>
      </c>
      <c r="Q103" s="26">
        <v>0</v>
      </c>
      <c r="R103" s="26">
        <v>0</v>
      </c>
      <c r="S103" s="26">
        <v>0</v>
      </c>
      <c r="T103" s="27">
        <v>15000</v>
      </c>
      <c r="U103" s="46"/>
      <c r="V103" s="47"/>
      <c r="W103" s="48"/>
      <c r="X103" s="45">
        <v>1315150920</v>
      </c>
    </row>
    <row r="104" spans="1:24" s="39" customFormat="1" ht="24.95" hidden="1" customHeight="1">
      <c r="A104" s="39">
        <v>9</v>
      </c>
      <c r="B104" s="24">
        <v>1313450920</v>
      </c>
      <c r="C104" s="25" t="str">
        <f t="shared" si="34"/>
        <v>920</v>
      </c>
      <c r="D104" s="25" t="str">
        <f t="shared" si="35"/>
        <v>313450</v>
      </c>
      <c r="E104" s="25" t="s">
        <v>121</v>
      </c>
      <c r="F104" s="26">
        <v>101000</v>
      </c>
      <c r="G104" s="26">
        <v>77093.149999999994</v>
      </c>
      <c r="H104" s="26">
        <f>77387+500</f>
        <v>77887</v>
      </c>
      <c r="I104" s="26">
        <f>H104</f>
        <v>77887</v>
      </c>
      <c r="J104" s="26" t="e">
        <f>VLOOKUP(B104,#REF!,6,0)</f>
        <v>#REF!</v>
      </c>
      <c r="K104" s="26" t="e">
        <f>+J104</f>
        <v>#REF!</v>
      </c>
      <c r="L104" s="26">
        <v>72753</v>
      </c>
      <c r="M104" s="26">
        <v>72700</v>
      </c>
      <c r="N104" s="26">
        <v>72700</v>
      </c>
      <c r="O104" s="26" t="e">
        <f>VLOOKUP(B104,[3]כספי!$A$1:$E$324,5,0)</f>
        <v>#N/A</v>
      </c>
      <c r="P104" s="26">
        <f>VLOOKUP(B:B,'[3]תקבולים 2017'!B:R,15,0)</f>
        <v>0</v>
      </c>
      <c r="Q104" s="26">
        <f>-VLOOKUP(B:B,'[3]דוח כספי 10.17 מעודכן'!A:D,4,0)</f>
        <v>146545.42000000001</v>
      </c>
      <c r="R104" s="26"/>
      <c r="S104" s="26">
        <f>Q104/10*12</f>
        <v>175854.50400000002</v>
      </c>
      <c r="T104" s="27"/>
      <c r="U104" s="40">
        <f>IF(ISBLANK(B104),1,--OR(L104&gt;1,M104&gt;1,N104&gt;1))</f>
        <v>1</v>
      </c>
      <c r="V104" s="41">
        <f>+Q104-N104</f>
        <v>73845.420000000013</v>
      </c>
      <c r="W104" s="42">
        <f>P104-Q104</f>
        <v>-146545.42000000001</v>
      </c>
      <c r="X104" s="43">
        <v>1319999920</v>
      </c>
    </row>
    <row r="105" spans="1:24" ht="24.95" hidden="1" customHeight="1">
      <c r="A105" s="1">
        <v>9</v>
      </c>
      <c r="B105" s="18">
        <v>1313451920</v>
      </c>
      <c r="C105" s="19" t="str">
        <f t="shared" si="34"/>
        <v>920</v>
      </c>
      <c r="D105" s="19" t="str">
        <f t="shared" si="35"/>
        <v>313451</v>
      </c>
      <c r="E105" s="19" t="s">
        <v>122</v>
      </c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>
        <f>VLOOKUP(B:B,'[3]תקבולים 2017'!B:R,15,0)</f>
        <v>0</v>
      </c>
      <c r="Q105" s="20">
        <f>-VLOOKUP(B:B,'[3]דוח כספי 10.17 מעודכן'!A:D,4,0)</f>
        <v>0</v>
      </c>
      <c r="R105" s="20">
        <f>VLOOKUP(B:B,'[3]תקבולים 2017'!B:T,17,0)</f>
        <v>0</v>
      </c>
      <c r="S105" s="20">
        <f>Q105/10*12</f>
        <v>0</v>
      </c>
      <c r="T105" s="21">
        <v>0</v>
      </c>
      <c r="U105" s="12"/>
      <c r="V105" s="22"/>
      <c r="W105" s="23">
        <f>P105-Q105</f>
        <v>0</v>
      </c>
      <c r="X105" s="43"/>
    </row>
    <row r="106" spans="1:24" ht="24.95" hidden="1" customHeight="1">
      <c r="A106" s="1">
        <v>9</v>
      </c>
      <c r="B106" s="18">
        <v>1313452920</v>
      </c>
      <c r="C106" s="19" t="str">
        <f t="shared" si="34"/>
        <v>920</v>
      </c>
      <c r="D106" s="19" t="str">
        <f t="shared" si="35"/>
        <v>313452</v>
      </c>
      <c r="E106" s="19" t="s">
        <v>123</v>
      </c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>
        <f>VLOOKUP(B:B,'[3]תקבולים 2017'!B:R,15,0)</f>
        <v>0</v>
      </c>
      <c r="Q106" s="20">
        <f>-VLOOKUP(B:B,'[3]דוח כספי 10.17 מעודכן'!A:D,4,0)</f>
        <v>0</v>
      </c>
      <c r="R106" s="20">
        <f>VLOOKUP(B:B,'[3]תקבולים 2017'!B:T,17,0)</f>
        <v>0</v>
      </c>
      <c r="S106" s="20">
        <f>Q106/10*12</f>
        <v>0</v>
      </c>
      <c r="T106" s="21">
        <v>0</v>
      </c>
      <c r="U106" s="12"/>
      <c r="V106" s="22"/>
      <c r="W106" s="23">
        <f>P106-Q106</f>
        <v>0</v>
      </c>
      <c r="X106" s="43"/>
    </row>
    <row r="107" spans="1:24" ht="24.95" hidden="1" customHeight="1">
      <c r="A107" s="1">
        <v>9</v>
      </c>
      <c r="B107" s="18">
        <v>1313453920</v>
      </c>
      <c r="C107" s="19" t="str">
        <f t="shared" si="34"/>
        <v>920</v>
      </c>
      <c r="D107" s="19" t="str">
        <f t="shared" si="35"/>
        <v>313453</v>
      </c>
      <c r="E107" s="19" t="s">
        <v>124</v>
      </c>
      <c r="F107" s="20">
        <v>40000</v>
      </c>
      <c r="G107" s="20">
        <v>34155.31</v>
      </c>
      <c r="H107" s="20">
        <f>G107*12/10</f>
        <v>40986.371999999996</v>
      </c>
      <c r="I107" s="20">
        <f>H107</f>
        <v>40986.371999999996</v>
      </c>
      <c r="J107" s="20" t="e">
        <f>VLOOKUP(B107,#REF!,6,0)</f>
        <v>#REF!</v>
      </c>
      <c r="K107" s="20" t="e">
        <f>+J107*1.71428571428571</f>
        <v>#REF!</v>
      </c>
      <c r="L107" s="20">
        <v>40000</v>
      </c>
      <c r="M107" s="20">
        <v>26700</v>
      </c>
      <c r="N107" s="20">
        <v>40000</v>
      </c>
      <c r="O107" s="20" t="e">
        <f>VLOOKUP(B107,[3]כספי!$A$1:$E$324,5,0)</f>
        <v>#N/A</v>
      </c>
      <c r="P107" s="20">
        <f>VLOOKUP(B:B,'[3]תקבולים 2017'!B:R,15,0)</f>
        <v>0</v>
      </c>
      <c r="Q107" s="20">
        <f>-VLOOKUP(B:B,'[3]דוח כספי 10.17 מעודכן'!A:D,4,0)</f>
        <v>0</v>
      </c>
      <c r="R107" s="20">
        <f>VLOOKUP(B:B,'[3]תקבולים 2017'!B:T,17,0)</f>
        <v>0</v>
      </c>
      <c r="S107" s="20">
        <f>Q107/10*12</f>
        <v>0</v>
      </c>
      <c r="T107" s="21">
        <v>0</v>
      </c>
      <c r="U107" s="12">
        <f>IF(ISBLANK(B107),1,--OR(L107&gt;1,M107&gt;1,N107&gt;1))</f>
        <v>1</v>
      </c>
      <c r="V107" s="22">
        <f>+Q107-N107</f>
        <v>-40000</v>
      </c>
      <c r="W107" s="23">
        <f>P107-Q107</f>
        <v>0</v>
      </c>
      <c r="X107" s="43"/>
    </row>
    <row r="108" spans="1:24" ht="24.95" customHeight="1">
      <c r="A108" s="1">
        <v>9</v>
      </c>
      <c r="B108" s="18">
        <v>1313454920</v>
      </c>
      <c r="C108" s="19" t="str">
        <f t="shared" si="34"/>
        <v>920</v>
      </c>
      <c r="D108" s="19" t="str">
        <f t="shared" si="35"/>
        <v>313454</v>
      </c>
      <c r="E108" s="19" t="s">
        <v>125</v>
      </c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>
        <v>78000</v>
      </c>
      <c r="S108" s="20"/>
      <c r="T108" s="21">
        <v>78000</v>
      </c>
      <c r="U108" s="12"/>
      <c r="V108" s="22"/>
      <c r="W108" s="23"/>
      <c r="X108" s="43"/>
    </row>
    <row r="109" spans="1:24" ht="24.95" hidden="1" customHeight="1">
      <c r="A109" s="1">
        <v>9</v>
      </c>
      <c r="B109" s="18">
        <v>1313600920</v>
      </c>
      <c r="C109" s="19" t="str">
        <f t="shared" si="34"/>
        <v>920</v>
      </c>
      <c r="D109" s="19" t="str">
        <f t="shared" si="35"/>
        <v>313600</v>
      </c>
      <c r="E109" s="19" t="s">
        <v>126</v>
      </c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>
        <f>VLOOKUP(B:B,'[3]תקבולים 2017'!B:R,15,0)</f>
        <v>0</v>
      </c>
      <c r="Q109" s="20">
        <f>-VLOOKUP(B:B,'[3]דוח כספי 10.17 מעודכן'!A:D,4,0)</f>
        <v>0</v>
      </c>
      <c r="R109" s="20">
        <f>VLOOKUP(B:B,'[3]תקבולים 2017'!B:T,17,0)</f>
        <v>0</v>
      </c>
      <c r="S109" s="20">
        <f>Q109/10*12</f>
        <v>0</v>
      </c>
      <c r="T109" s="21">
        <v>0</v>
      </c>
      <c r="U109" s="12"/>
      <c r="V109" s="22"/>
      <c r="W109" s="23">
        <f>P109-Q109</f>
        <v>0</v>
      </c>
      <c r="X109" s="43"/>
    </row>
    <row r="110" spans="1:24" ht="24.95" customHeight="1">
      <c r="A110" s="1">
        <v>9</v>
      </c>
      <c r="B110" s="24">
        <v>1313606920</v>
      </c>
      <c r="C110" s="25" t="str">
        <f t="shared" si="34"/>
        <v>920</v>
      </c>
      <c r="D110" s="25" t="str">
        <f t="shared" si="35"/>
        <v>313606</v>
      </c>
      <c r="E110" s="25" t="s">
        <v>127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>
        <v>0</v>
      </c>
      <c r="Q110" s="26">
        <v>0</v>
      </c>
      <c r="R110" s="26">
        <v>0</v>
      </c>
      <c r="S110" s="26">
        <v>0</v>
      </c>
      <c r="T110" s="27">
        <v>360000</v>
      </c>
      <c r="U110" s="12"/>
      <c r="V110" s="22"/>
      <c r="W110" s="23"/>
      <c r="X110" s="43">
        <v>1313610920</v>
      </c>
    </row>
    <row r="111" spans="1:24" ht="24.95" customHeight="1">
      <c r="A111" s="1">
        <v>9</v>
      </c>
      <c r="B111" s="24">
        <v>1313610920</v>
      </c>
      <c r="C111" s="25" t="str">
        <f t="shared" si="34"/>
        <v>920</v>
      </c>
      <c r="D111" s="25" t="str">
        <f t="shared" si="35"/>
        <v>313610</v>
      </c>
      <c r="E111" s="25" t="s">
        <v>127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>
        <f>VLOOKUP(B:B,'[3]תקבולים 2017'!B:R,15,0)</f>
        <v>294000</v>
      </c>
      <c r="Q111" s="26">
        <f>-VLOOKUP(B:B,'[3]דוח כספי 10.17 מעודכן'!A:D,4,0)</f>
        <v>295868.86</v>
      </c>
      <c r="R111" s="26">
        <f>VLOOKUP(B:B,'[3]תקבולים 2017'!B:T,17,0)</f>
        <v>355000</v>
      </c>
      <c r="S111" s="26">
        <f>Q111/10*12</f>
        <v>355042.63199999998</v>
      </c>
      <c r="T111" s="27">
        <v>0</v>
      </c>
      <c r="U111" s="61"/>
      <c r="V111" s="62"/>
      <c r="W111" s="63">
        <f>P111-Q111</f>
        <v>-1868.859999999986</v>
      </c>
      <c r="X111" s="45">
        <v>1313606920</v>
      </c>
    </row>
    <row r="112" spans="1:24" ht="24.95" hidden="1" customHeight="1">
      <c r="A112" s="1">
        <v>9</v>
      </c>
      <c r="B112" s="18">
        <v>1313700920</v>
      </c>
      <c r="C112" s="19" t="str">
        <f t="shared" si="34"/>
        <v>920</v>
      </c>
      <c r="D112" s="19" t="str">
        <f t="shared" si="35"/>
        <v>313700</v>
      </c>
      <c r="E112" s="19" t="s">
        <v>128</v>
      </c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>
        <f>VLOOKUP(B:B,'[3]תקבולים 2017'!B:R,15,0)</f>
        <v>0</v>
      </c>
      <c r="Q112" s="20">
        <f>-VLOOKUP(B:B,'[3]דוח כספי 10.17 מעודכן'!A:D,4,0)</f>
        <v>0</v>
      </c>
      <c r="R112" s="20">
        <f>VLOOKUP(B:B,'[3]תקבולים 2017'!B:T,17,0)</f>
        <v>0</v>
      </c>
      <c r="S112" s="20">
        <f>Q112/10*12</f>
        <v>0</v>
      </c>
      <c r="T112" s="21">
        <v>0</v>
      </c>
      <c r="U112" s="12"/>
      <c r="V112" s="22"/>
      <c r="W112" s="23">
        <f>P112-Q112</f>
        <v>0</v>
      </c>
      <c r="X112" s="43"/>
    </row>
    <row r="113" spans="1:24" ht="24.95" customHeight="1">
      <c r="A113" s="1">
        <v>10</v>
      </c>
      <c r="B113" s="18">
        <v>1313800290</v>
      </c>
      <c r="C113" s="19" t="str">
        <f t="shared" si="34"/>
        <v>290</v>
      </c>
      <c r="D113" s="19" t="str">
        <f t="shared" si="35"/>
        <v>313800</v>
      </c>
      <c r="E113" s="19" t="s">
        <v>129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>
        <f>VLOOKUP(B:B,'[3]תקבולים 2017'!B:R,15,0)</f>
        <v>100000</v>
      </c>
      <c r="Q113" s="20">
        <f>-VLOOKUP(B:B,'[3]דוח כספי 10.17 מעודכן'!A:D,4,0)</f>
        <v>32400</v>
      </c>
      <c r="R113" s="20">
        <f>VLOOKUP(B:B,'[3]תקבולים 2017'!B:T,17,0)</f>
        <v>39000</v>
      </c>
      <c r="S113" s="20">
        <f>Q113/10*12</f>
        <v>38880</v>
      </c>
      <c r="T113" s="21">
        <v>41000</v>
      </c>
      <c r="U113" s="12"/>
      <c r="V113" s="22"/>
      <c r="W113" s="23">
        <f>P113-Q113</f>
        <v>67600</v>
      </c>
      <c r="X113" s="43" t="s">
        <v>130</v>
      </c>
    </row>
    <row r="114" spans="1:24" ht="24.95" customHeight="1">
      <c r="A114" s="1">
        <v>9</v>
      </c>
      <c r="B114" s="18">
        <v>1313900920</v>
      </c>
      <c r="C114" s="19" t="str">
        <f t="shared" si="34"/>
        <v>920</v>
      </c>
      <c r="D114" s="19" t="str">
        <f t="shared" si="35"/>
        <v>313900</v>
      </c>
      <c r="E114" s="19" t="s">
        <v>131</v>
      </c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>
        <v>0</v>
      </c>
      <c r="Q114" s="20">
        <v>0</v>
      </c>
      <c r="R114" s="20">
        <v>0</v>
      </c>
      <c r="S114" s="20">
        <v>0</v>
      </c>
      <c r="T114" s="21">
        <v>377000</v>
      </c>
      <c r="U114" s="12"/>
      <c r="V114" s="22"/>
      <c r="W114" s="23"/>
      <c r="X114" s="43">
        <v>1317860920</v>
      </c>
    </row>
    <row r="115" spans="1:24" ht="24.95" customHeight="1">
      <c r="B115" s="28"/>
      <c r="C115" s="29"/>
      <c r="D115" s="29"/>
      <c r="E115" s="29" t="s">
        <v>132</v>
      </c>
      <c r="F115" s="30">
        <f t="shared" ref="F115:O115" si="38">SUM(F99:F107)</f>
        <v>951000</v>
      </c>
      <c r="G115" s="30">
        <f t="shared" si="38"/>
        <v>801190.85000000009</v>
      </c>
      <c r="H115" s="30">
        <f t="shared" si="38"/>
        <v>946804.24</v>
      </c>
      <c r="I115" s="30">
        <f t="shared" si="38"/>
        <v>946804.24</v>
      </c>
      <c r="J115" s="30" t="e">
        <f t="shared" si="38"/>
        <v>#REF!</v>
      </c>
      <c r="K115" s="30" t="e">
        <f t="shared" si="38"/>
        <v>#REF!</v>
      </c>
      <c r="L115" s="30">
        <f t="shared" si="38"/>
        <v>927753</v>
      </c>
      <c r="M115" s="30">
        <f t="shared" si="38"/>
        <v>906400</v>
      </c>
      <c r="N115" s="30">
        <f t="shared" si="38"/>
        <v>952700</v>
      </c>
      <c r="O115" s="30" t="e">
        <f t="shared" si="38"/>
        <v>#N/A</v>
      </c>
      <c r="P115" s="30">
        <f t="shared" ref="P115:S115" si="39">SUM(P78:P114)</f>
        <v>3055000</v>
      </c>
      <c r="Q115" s="30">
        <f t="shared" si="39"/>
        <v>4915079.9799999995</v>
      </c>
      <c r="R115" s="30">
        <f t="shared" si="39"/>
        <v>5884000.2479999997</v>
      </c>
      <c r="S115" s="30">
        <f t="shared" si="39"/>
        <v>5898095.9760000007</v>
      </c>
      <c r="T115" s="31">
        <f>SUM(T78:T114)</f>
        <v>3567000</v>
      </c>
      <c r="U115" s="12">
        <f>IF(ISBLANK(B115),1,--OR(L115&gt;1,M115&gt;1,N115&gt;1))</f>
        <v>1</v>
      </c>
      <c r="V115" s="22">
        <f>+Q115-N115</f>
        <v>3962379.9799999995</v>
      </c>
      <c r="W115" s="23">
        <f>P115-Q115</f>
        <v>-1860079.9799999995</v>
      </c>
      <c r="X115" s="43"/>
    </row>
    <row r="116" spans="1:24" s="39" customFormat="1" ht="24.95" customHeight="1">
      <c r="A116" s="39">
        <v>9</v>
      </c>
      <c r="B116" s="24">
        <v>1314000920</v>
      </c>
      <c r="C116" s="25" t="str">
        <f>MID(B116,8,3)</f>
        <v>920</v>
      </c>
      <c r="D116" s="25" t="str">
        <f>MID(B116,2,6)</f>
        <v>314000</v>
      </c>
      <c r="E116" s="25" t="s">
        <v>133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>
        <f>VLOOKUP(B:B,'[3]תקבולים 2017'!B:R,15,0)</f>
        <v>645000</v>
      </c>
      <c r="Q116" s="26">
        <f>-VLOOKUP(B:B,'[3]דוח כספי 10.17 מעודכן'!A:D,4,0)</f>
        <v>547051.29</v>
      </c>
      <c r="R116" s="26">
        <f>VLOOKUP(B:B,'[3]תקבולים 2017'!B:T,17,0)</f>
        <v>656000</v>
      </c>
      <c r="S116" s="26">
        <f>Q116/10*12</f>
        <v>656461.54799999995</v>
      </c>
      <c r="T116" s="27">
        <v>0</v>
      </c>
      <c r="U116" s="40"/>
      <c r="V116" s="41"/>
      <c r="W116" s="42">
        <f>P116-Q116</f>
        <v>97948.709999999963</v>
      </c>
      <c r="X116" s="45">
        <v>1317310920</v>
      </c>
    </row>
    <row r="117" spans="1:24" ht="24.95" customHeight="1">
      <c r="A117" s="1">
        <v>9</v>
      </c>
      <c r="B117" s="24">
        <v>1314100920</v>
      </c>
      <c r="C117" s="25" t="str">
        <f>MID(B117,8,3)</f>
        <v>920</v>
      </c>
      <c r="D117" s="25" t="str">
        <f>MID(B117,2,6)</f>
        <v>314100</v>
      </c>
      <c r="E117" s="25" t="s">
        <v>134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44"/>
      <c r="P117" s="26">
        <v>0</v>
      </c>
      <c r="Q117" s="26">
        <v>0</v>
      </c>
      <c r="R117" s="26">
        <v>0</v>
      </c>
      <c r="S117" s="26">
        <v>0</v>
      </c>
      <c r="T117" s="27">
        <v>1660000</v>
      </c>
      <c r="U117" s="46"/>
      <c r="V117" s="47"/>
      <c r="W117" s="48"/>
      <c r="X117" s="45">
        <v>1317500920</v>
      </c>
    </row>
    <row r="118" spans="1:24" ht="24.95" customHeight="1">
      <c r="B118" s="28"/>
      <c r="C118" s="29"/>
      <c r="D118" s="29"/>
      <c r="E118" s="29" t="s">
        <v>135</v>
      </c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>
        <f t="shared" ref="P118:S118" si="40">SUM(P116:P117)</f>
        <v>645000</v>
      </c>
      <c r="Q118" s="30">
        <f t="shared" si="40"/>
        <v>547051.29</v>
      </c>
      <c r="R118" s="30">
        <f t="shared" si="40"/>
        <v>656000</v>
      </c>
      <c r="S118" s="30">
        <f t="shared" si="40"/>
        <v>656461.54799999995</v>
      </c>
      <c r="T118" s="31">
        <f>SUM(T116:T117)</f>
        <v>1660000</v>
      </c>
      <c r="U118" s="12"/>
      <c r="V118" s="22"/>
      <c r="W118" s="23">
        <f>P118-Q118</f>
        <v>97948.709999999963</v>
      </c>
      <c r="X118" s="43"/>
    </row>
    <row r="119" spans="1:24" ht="24.95" customHeight="1">
      <c r="A119" s="1">
        <v>9</v>
      </c>
      <c r="B119" s="24">
        <v>1315000920</v>
      </c>
      <c r="C119" s="25" t="str">
        <f t="shared" ref="C119:C165" si="41">MID(B119,8,3)</f>
        <v>920</v>
      </c>
      <c r="D119" s="25" t="str">
        <f t="shared" ref="D119:D165" si="42">MID(B119,2,6)</f>
        <v>315000</v>
      </c>
      <c r="E119" s="25" t="s">
        <v>136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>
        <v>0</v>
      </c>
      <c r="Q119" s="26">
        <v>0</v>
      </c>
      <c r="R119" s="26">
        <v>0</v>
      </c>
      <c r="S119" s="26">
        <v>0</v>
      </c>
      <c r="T119" s="27">
        <v>31000</v>
      </c>
      <c r="U119" s="61"/>
      <c r="V119" s="62"/>
      <c r="W119" s="63"/>
      <c r="X119" s="45">
        <v>1317720920</v>
      </c>
    </row>
    <row r="120" spans="1:24" ht="24.95" customHeight="1">
      <c r="A120" s="1">
        <v>9</v>
      </c>
      <c r="B120" s="24">
        <v>1315001920</v>
      </c>
      <c r="C120" s="25" t="str">
        <f t="shared" si="41"/>
        <v>920</v>
      </c>
      <c r="D120" s="25" t="str">
        <f t="shared" si="42"/>
        <v>315001</v>
      </c>
      <c r="E120" s="25" t="s">
        <v>90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>
        <v>0</v>
      </c>
      <c r="Q120" s="26">
        <v>0</v>
      </c>
      <c r="R120" s="26">
        <v>0</v>
      </c>
      <c r="S120" s="26">
        <v>0</v>
      </c>
      <c r="T120" s="27">
        <v>8500000</v>
      </c>
      <c r="U120" s="61"/>
      <c r="V120" s="62"/>
      <c r="W120" s="63"/>
      <c r="X120" s="45">
        <v>1312200920</v>
      </c>
    </row>
    <row r="121" spans="1:24" s="39" customFormat="1" ht="24.95" customHeight="1">
      <c r="A121" s="39">
        <v>9</v>
      </c>
      <c r="B121" s="24">
        <v>1315100920</v>
      </c>
      <c r="C121" s="25" t="str">
        <f t="shared" si="41"/>
        <v>920</v>
      </c>
      <c r="D121" s="25" t="str">
        <f t="shared" si="42"/>
        <v>315100</v>
      </c>
      <c r="E121" s="25" t="s">
        <v>137</v>
      </c>
      <c r="F121" s="26">
        <v>5000</v>
      </c>
      <c r="G121" s="26"/>
      <c r="H121" s="26">
        <f t="shared" ref="H121:H130" si="43">G121*12/10</f>
        <v>0</v>
      </c>
      <c r="I121" s="26">
        <f t="shared" ref="I121:I130" si="44">H121</f>
        <v>0</v>
      </c>
      <c r="J121" s="26">
        <v>0</v>
      </c>
      <c r="K121" s="26">
        <f t="shared" ref="K121:K126" si="45">+J121*1.71428571428571</f>
        <v>0</v>
      </c>
      <c r="L121" s="26">
        <v>0</v>
      </c>
      <c r="M121" s="26"/>
      <c r="N121" s="26"/>
      <c r="O121" s="26"/>
      <c r="P121" s="26">
        <f>VLOOKUP(B:B,'[3]תקבולים 2017'!B:R,15,0)</f>
        <v>438000</v>
      </c>
      <c r="Q121" s="26">
        <f>-VLOOKUP(B:B,'[3]דוח כספי 10.17 מעודכן'!A:D,4,0)</f>
        <v>537504.44999999995</v>
      </c>
      <c r="R121" s="26">
        <f>VLOOKUP(B:B,'[3]תקבולים 2017'!B:T,17,0)</f>
        <v>644000</v>
      </c>
      <c r="S121" s="26">
        <f t="shared" ref="S121:S132" si="46">Q121/10*12</f>
        <v>645005.33999999985</v>
      </c>
      <c r="T121" s="27">
        <v>650000</v>
      </c>
      <c r="U121" s="40">
        <f t="shared" ref="U121:U130" si="47">IF(ISBLANK(B121),1,--OR(L121&gt;1,M121&gt;1,N121&gt;1))</f>
        <v>0</v>
      </c>
      <c r="V121" s="41"/>
      <c r="W121" s="42">
        <f t="shared" ref="W121:W132" si="48">P121-Q121</f>
        <v>-99504.449999999953</v>
      </c>
      <c r="X121" s="43">
        <v>312</v>
      </c>
    </row>
    <row r="122" spans="1:24" s="39" customFormat="1" ht="24.95" customHeight="1">
      <c r="A122" s="39">
        <v>9</v>
      </c>
      <c r="B122" s="24">
        <v>1315110920</v>
      </c>
      <c r="C122" s="25" t="str">
        <f t="shared" si="41"/>
        <v>920</v>
      </c>
      <c r="D122" s="25" t="str">
        <f t="shared" si="42"/>
        <v>315110</v>
      </c>
      <c r="E122" s="25" t="s">
        <v>138</v>
      </c>
      <c r="F122" s="26">
        <v>5608000</v>
      </c>
      <c r="G122" s="26">
        <f>4190284.83+250000</f>
        <v>4440284.83</v>
      </c>
      <c r="H122" s="26">
        <f t="shared" si="43"/>
        <v>5328341.7960000001</v>
      </c>
      <c r="I122" s="26">
        <f t="shared" si="44"/>
        <v>5328341.7960000001</v>
      </c>
      <c r="J122" s="26" t="e">
        <f>VLOOKUP(B122,#REF!,6,0)</f>
        <v>#REF!</v>
      </c>
      <c r="K122" s="26" t="e">
        <f t="shared" si="45"/>
        <v>#REF!</v>
      </c>
      <c r="L122" s="26">
        <v>5500000</v>
      </c>
      <c r="M122" s="26">
        <v>5800000</v>
      </c>
      <c r="N122" s="26">
        <v>6500000</v>
      </c>
      <c r="O122" s="26">
        <v>4133842.95</v>
      </c>
      <c r="P122" s="26">
        <f>VLOOKUP(B:B,'[3]תקבולים 2017'!B:R,15,0)</f>
        <v>1088000</v>
      </c>
      <c r="Q122" s="26">
        <f>-VLOOKUP(B:B,'[3]דוח כספי 10.17 מעודכן'!A:D,4,0)</f>
        <v>1259810.47</v>
      </c>
      <c r="R122" s="26">
        <f>VLOOKUP(B:B,'[3]תקבולים 2017'!B:T,17,0)</f>
        <v>1512000</v>
      </c>
      <c r="S122" s="26">
        <f t="shared" si="46"/>
        <v>1511772.5639999998</v>
      </c>
      <c r="T122" s="27">
        <v>0</v>
      </c>
      <c r="U122" s="40">
        <f t="shared" si="47"/>
        <v>1</v>
      </c>
      <c r="V122" s="41">
        <f t="shared" ref="V122:V132" si="49">+Q122-N122</f>
        <v>-5240189.53</v>
      </c>
      <c r="W122" s="42">
        <f t="shared" si="48"/>
        <v>-171810.46999999997</v>
      </c>
      <c r="X122" s="45" t="s">
        <v>139</v>
      </c>
    </row>
    <row r="123" spans="1:24" ht="24.95" hidden="1" customHeight="1">
      <c r="A123" s="1">
        <v>9</v>
      </c>
      <c r="B123" s="24">
        <v>1315111920</v>
      </c>
      <c r="C123" s="25" t="str">
        <f t="shared" si="41"/>
        <v>920</v>
      </c>
      <c r="D123" s="25" t="str">
        <f t="shared" si="42"/>
        <v>315111</v>
      </c>
      <c r="E123" s="25" t="s">
        <v>140</v>
      </c>
      <c r="F123" s="26"/>
      <c r="G123" s="26">
        <v>3061.04</v>
      </c>
      <c r="H123" s="26">
        <f t="shared" si="43"/>
        <v>3673.2479999999996</v>
      </c>
      <c r="I123" s="26">
        <f t="shared" si="44"/>
        <v>3673.2479999999996</v>
      </c>
      <c r="J123" s="26" t="e">
        <f>VLOOKUP(B123,#REF!,6,0)</f>
        <v>#REF!</v>
      </c>
      <c r="K123" s="26" t="e">
        <f t="shared" si="45"/>
        <v>#REF!</v>
      </c>
      <c r="L123" s="26">
        <v>5000</v>
      </c>
      <c r="M123" s="26">
        <v>4100</v>
      </c>
      <c r="N123" s="26">
        <v>4100</v>
      </c>
      <c r="O123" s="26" t="e">
        <f>VLOOKUP(B123,[3]כספי!$A$1:$E$324,5,0)</f>
        <v>#N/A</v>
      </c>
      <c r="P123" s="26">
        <f>VLOOKUP(B:B,'[3]תקבולים 2017'!B:R,15,0)</f>
        <v>0</v>
      </c>
      <c r="Q123" s="26">
        <f>-VLOOKUP(B:B,'[3]דוח כספי 10.17 מעודכן'!A:D,4,0)</f>
        <v>0</v>
      </c>
      <c r="R123" s="26">
        <f>VLOOKUP(B:B,'[3]תקבולים 2017'!B:T,17,0)</f>
        <v>0</v>
      </c>
      <c r="S123" s="26">
        <f t="shared" si="46"/>
        <v>0</v>
      </c>
      <c r="T123" s="27">
        <v>0</v>
      </c>
      <c r="U123" s="12">
        <f t="shared" si="47"/>
        <v>1</v>
      </c>
      <c r="V123" s="22">
        <f t="shared" si="49"/>
        <v>-4100</v>
      </c>
      <c r="W123" s="23">
        <f t="shared" si="48"/>
        <v>0</v>
      </c>
      <c r="X123" s="45"/>
    </row>
    <row r="124" spans="1:24" ht="24.95" customHeight="1">
      <c r="A124" s="1">
        <v>10</v>
      </c>
      <c r="B124" s="24">
        <v>1315120420</v>
      </c>
      <c r="C124" s="25" t="str">
        <f t="shared" si="41"/>
        <v>420</v>
      </c>
      <c r="D124" s="25" t="str">
        <f t="shared" si="42"/>
        <v>315120</v>
      </c>
      <c r="E124" s="25" t="s">
        <v>141</v>
      </c>
      <c r="F124" s="26">
        <v>19000</v>
      </c>
      <c r="G124" s="26">
        <v>16677.740000000002</v>
      </c>
      <c r="H124" s="26">
        <f t="shared" si="43"/>
        <v>20013.288</v>
      </c>
      <c r="I124" s="26">
        <f t="shared" si="44"/>
        <v>20013.288</v>
      </c>
      <c r="J124" s="26" t="e">
        <f>VLOOKUP(B124,#REF!,6,0)</f>
        <v>#REF!</v>
      </c>
      <c r="K124" s="26" t="e">
        <f t="shared" si="45"/>
        <v>#REF!</v>
      </c>
      <c r="L124" s="26">
        <v>20000</v>
      </c>
      <c r="M124" s="26">
        <v>18900</v>
      </c>
      <c r="N124" s="26">
        <v>20000</v>
      </c>
      <c r="O124" s="26" t="e">
        <f>VLOOKUP(B124,[3]כספי!$A$1:$E$324,5,0)</f>
        <v>#N/A</v>
      </c>
      <c r="P124" s="26">
        <f>VLOOKUP(B:B,'[3]תקבולים 2017'!B:R,15,0)</f>
        <v>14000</v>
      </c>
      <c r="Q124" s="26">
        <f>-VLOOKUP(B:B,'[3]דוח כספי 10.17 מעודכן'!A:D,4,0)</f>
        <v>0</v>
      </c>
      <c r="R124" s="26">
        <f>VLOOKUP(B:B,'[3]תקבולים 2017'!B:T,17,0)</f>
        <v>0</v>
      </c>
      <c r="S124" s="26">
        <f t="shared" si="46"/>
        <v>0</v>
      </c>
      <c r="T124" s="27">
        <v>0</v>
      </c>
      <c r="U124" s="12">
        <f t="shared" si="47"/>
        <v>1</v>
      </c>
      <c r="V124" s="22">
        <f t="shared" si="49"/>
        <v>-20000</v>
      </c>
      <c r="W124" s="23">
        <f t="shared" si="48"/>
        <v>14000</v>
      </c>
      <c r="X124" s="45"/>
    </row>
    <row r="125" spans="1:24" s="39" customFormat="1" ht="24.95" customHeight="1">
      <c r="A125" s="39">
        <v>9</v>
      </c>
      <c r="B125" s="24">
        <v>1315120920</v>
      </c>
      <c r="C125" s="25" t="str">
        <f t="shared" si="41"/>
        <v>920</v>
      </c>
      <c r="D125" s="25" t="str">
        <f t="shared" si="42"/>
        <v>315120</v>
      </c>
      <c r="E125" s="25" t="s">
        <v>142</v>
      </c>
      <c r="F125" s="26">
        <v>280000</v>
      </c>
      <c r="G125" s="26">
        <v>224129.89</v>
      </c>
      <c r="H125" s="26">
        <f t="shared" si="43"/>
        <v>268955.86800000002</v>
      </c>
      <c r="I125" s="26">
        <f t="shared" si="44"/>
        <v>268955.86800000002</v>
      </c>
      <c r="J125" s="26" t="e">
        <f>VLOOKUP(B125,#REF!,6,0)</f>
        <v>#REF!</v>
      </c>
      <c r="K125" s="26" t="e">
        <f t="shared" si="45"/>
        <v>#REF!</v>
      </c>
      <c r="L125" s="26">
        <v>275000</v>
      </c>
      <c r="M125" s="26">
        <v>280000</v>
      </c>
      <c r="N125" s="26">
        <f>280000+27000</f>
        <v>307000</v>
      </c>
      <c r="O125" s="26" t="e">
        <f>VLOOKUP(B125,[3]כספי!$A$1:$E$324,5,0)</f>
        <v>#N/A</v>
      </c>
      <c r="P125" s="26">
        <f>VLOOKUP(B:B,'[3]תקבולים 2017'!B:R,15,0)</f>
        <v>7000</v>
      </c>
      <c r="Q125" s="26">
        <f>-VLOOKUP(B:B,'[3]דוח כספי 10.17 מעודכן'!A:D,4,0)</f>
        <v>5126.6400000000003</v>
      </c>
      <c r="R125" s="26">
        <f>VLOOKUP(B:B,'[3]תקבולים 2017'!B:T,17,0)</f>
        <v>6000</v>
      </c>
      <c r="S125" s="26">
        <f t="shared" si="46"/>
        <v>6151.9679999999998</v>
      </c>
      <c r="T125" s="27">
        <v>0</v>
      </c>
      <c r="U125" s="40">
        <f t="shared" si="47"/>
        <v>1</v>
      </c>
      <c r="V125" s="41">
        <f t="shared" si="49"/>
        <v>-301873.36</v>
      </c>
      <c r="W125" s="42">
        <f t="shared" si="48"/>
        <v>1873.3599999999997</v>
      </c>
      <c r="X125" s="45">
        <v>1315711920</v>
      </c>
    </row>
    <row r="126" spans="1:24" s="39" customFormat="1" ht="24.95" customHeight="1">
      <c r="A126" s="39">
        <v>9</v>
      </c>
      <c r="B126" s="24">
        <v>1315130920</v>
      </c>
      <c r="C126" s="25" t="str">
        <f t="shared" si="41"/>
        <v>920</v>
      </c>
      <c r="D126" s="25" t="str">
        <f t="shared" si="42"/>
        <v>315130</v>
      </c>
      <c r="E126" s="25" t="s">
        <v>143</v>
      </c>
      <c r="F126" s="26">
        <v>3000</v>
      </c>
      <c r="G126" s="26">
        <v>16375.16</v>
      </c>
      <c r="H126" s="26">
        <f t="shared" si="43"/>
        <v>19650.191999999999</v>
      </c>
      <c r="I126" s="26">
        <f t="shared" si="44"/>
        <v>19650.191999999999</v>
      </c>
      <c r="J126" s="26" t="e">
        <f>VLOOKUP(B126,#REF!,6,0)</f>
        <v>#REF!</v>
      </c>
      <c r="K126" s="26" t="e">
        <f t="shared" si="45"/>
        <v>#REF!</v>
      </c>
      <c r="L126" s="26">
        <v>25000</v>
      </c>
      <c r="M126" s="26">
        <v>27500</v>
      </c>
      <c r="N126" s="26">
        <v>27500</v>
      </c>
      <c r="O126" s="26" t="e">
        <f>VLOOKUP(B126,[3]כספי!$A$1:$E$324,5,0)</f>
        <v>#N/A</v>
      </c>
      <c r="P126" s="26">
        <f>VLOOKUP(B:B,'[3]תקבולים 2017'!B:R,15,0)</f>
        <v>19000</v>
      </c>
      <c r="Q126" s="26">
        <f>-VLOOKUP(B:B,'[3]דוח כספי 10.17 מעודכן'!A:D,4,0)</f>
        <v>16701.599999999999</v>
      </c>
      <c r="R126" s="26">
        <f>VLOOKUP(B:B,'[3]תקבולים 2017'!B:T,17,0)</f>
        <v>20000</v>
      </c>
      <c r="S126" s="26">
        <f t="shared" si="46"/>
        <v>20041.919999999998</v>
      </c>
      <c r="T126" s="27">
        <v>0</v>
      </c>
      <c r="U126" s="40">
        <f t="shared" si="47"/>
        <v>1</v>
      </c>
      <c r="V126" s="41">
        <f t="shared" si="49"/>
        <v>-10798.400000000001</v>
      </c>
      <c r="W126" s="42">
        <f t="shared" si="48"/>
        <v>2298.4000000000015</v>
      </c>
      <c r="X126" s="45">
        <v>1315753920</v>
      </c>
    </row>
    <row r="127" spans="1:24" s="39" customFormat="1" ht="24.95" customHeight="1">
      <c r="A127" s="39">
        <v>9</v>
      </c>
      <c r="B127" s="24">
        <v>1315140920</v>
      </c>
      <c r="C127" s="25" t="str">
        <f t="shared" si="41"/>
        <v>920</v>
      </c>
      <c r="D127" s="25" t="str">
        <f t="shared" si="42"/>
        <v>315140</v>
      </c>
      <c r="E127" s="25" t="s">
        <v>144</v>
      </c>
      <c r="F127" s="26">
        <v>320000</v>
      </c>
      <c r="G127" s="26">
        <v>238845.65</v>
      </c>
      <c r="H127" s="26">
        <f t="shared" si="43"/>
        <v>286614.77999999997</v>
      </c>
      <c r="I127" s="26">
        <f t="shared" si="44"/>
        <v>286614.77999999997</v>
      </c>
      <c r="J127" s="26" t="e">
        <f>VLOOKUP(B127,#REF!,6,0)</f>
        <v>#REF!</v>
      </c>
      <c r="K127" s="26">
        <v>237510</v>
      </c>
      <c r="L127" s="26">
        <v>237510</v>
      </c>
      <c r="M127" s="26">
        <v>24200</v>
      </c>
      <c r="N127" s="26">
        <v>240200</v>
      </c>
      <c r="O127" s="26" t="e">
        <f>VLOOKUP(B127,[3]כספי!$A$1:$E$324,5,0)</f>
        <v>#N/A</v>
      </c>
      <c r="P127" s="26">
        <f>VLOOKUP(B:B,'[3]תקבולים 2017'!B:R,15,0)</f>
        <v>3000</v>
      </c>
      <c r="Q127" s="26">
        <f>-VLOOKUP(B:B,'[3]דוח כספי 10.17 מעודכן'!A:D,4,0)</f>
        <v>3256.8</v>
      </c>
      <c r="R127" s="26">
        <f>VLOOKUP(B:B,'[3]תקבולים 2017'!B:T,17,0)</f>
        <v>4000</v>
      </c>
      <c r="S127" s="26">
        <f t="shared" si="46"/>
        <v>3908.16</v>
      </c>
      <c r="T127" s="27">
        <v>0</v>
      </c>
      <c r="U127" s="40">
        <f t="shared" si="47"/>
        <v>1</v>
      </c>
      <c r="V127" s="41">
        <f t="shared" si="49"/>
        <v>-236943.2</v>
      </c>
      <c r="W127" s="42">
        <f t="shared" si="48"/>
        <v>-256.80000000000018</v>
      </c>
      <c r="X127" s="45">
        <v>1315755920</v>
      </c>
    </row>
    <row r="128" spans="1:24" s="39" customFormat="1" ht="24.95" customHeight="1">
      <c r="A128" s="39">
        <v>9</v>
      </c>
      <c r="B128" s="24">
        <v>1315150920</v>
      </c>
      <c r="C128" s="25" t="str">
        <f t="shared" si="41"/>
        <v>920</v>
      </c>
      <c r="D128" s="25" t="str">
        <f t="shared" si="42"/>
        <v>315150</v>
      </c>
      <c r="E128" s="25" t="s">
        <v>145</v>
      </c>
      <c r="F128" s="26">
        <v>40000</v>
      </c>
      <c r="G128" s="26">
        <v>6257.86</v>
      </c>
      <c r="H128" s="26">
        <f t="shared" si="43"/>
        <v>7509.4319999999989</v>
      </c>
      <c r="I128" s="26">
        <f t="shared" si="44"/>
        <v>7509.4319999999989</v>
      </c>
      <c r="J128" s="26" t="e">
        <f>VLOOKUP(B128,#REF!,6,0)</f>
        <v>#REF!</v>
      </c>
      <c r="K128" s="26" t="e">
        <f>+J128*1.71428571428571</f>
        <v>#REF!</v>
      </c>
      <c r="L128" s="26">
        <v>0</v>
      </c>
      <c r="M128" s="26">
        <v>361700</v>
      </c>
      <c r="N128" s="26">
        <v>361700</v>
      </c>
      <c r="O128" s="26" t="e">
        <f>VLOOKUP(B128,[3]כספי!$A$1:$E$324,5,0)</f>
        <v>#N/A</v>
      </c>
      <c r="P128" s="26">
        <f>VLOOKUP(B:B,'[3]תקבולים 2017'!B:R,15,0)</f>
        <v>485000</v>
      </c>
      <c r="Q128" s="26">
        <f>-VLOOKUP(B:B,'[3]דוח כספי 10.17 מעודכן'!A:D,4,0)</f>
        <v>196881.88</v>
      </c>
      <c r="R128" s="26">
        <f>VLOOKUP(B:B,'[3]תקבולים 2017'!B:T,17,0)</f>
        <v>236000</v>
      </c>
      <c r="S128" s="26">
        <f t="shared" si="46"/>
        <v>236258.25600000002</v>
      </c>
      <c r="T128" s="27">
        <v>0</v>
      </c>
      <c r="U128" s="40">
        <f t="shared" si="47"/>
        <v>1</v>
      </c>
      <c r="V128" s="41">
        <f t="shared" si="49"/>
        <v>-164818.12</v>
      </c>
      <c r="W128" s="42">
        <f t="shared" si="48"/>
        <v>288118.12</v>
      </c>
      <c r="X128" s="45" t="s">
        <v>146</v>
      </c>
    </row>
    <row r="129" spans="1:24" s="39" customFormat="1" ht="24.95" hidden="1" customHeight="1">
      <c r="A129" s="39">
        <v>9</v>
      </c>
      <c r="B129" s="24">
        <v>1315160920</v>
      </c>
      <c r="C129" s="25" t="str">
        <f t="shared" si="41"/>
        <v>920</v>
      </c>
      <c r="D129" s="25" t="str">
        <f t="shared" si="42"/>
        <v>315160</v>
      </c>
      <c r="E129" s="25" t="s">
        <v>147</v>
      </c>
      <c r="F129" s="26">
        <v>1050000</v>
      </c>
      <c r="G129" s="26">
        <v>1138070.1399999999</v>
      </c>
      <c r="H129" s="26">
        <f t="shared" si="43"/>
        <v>1365684.1680000001</v>
      </c>
      <c r="I129" s="26">
        <f t="shared" si="44"/>
        <v>1365684.1680000001</v>
      </c>
      <c r="J129" s="26" t="e">
        <f>VLOOKUP(B129,#REF!,6,0)</f>
        <v>#REF!</v>
      </c>
      <c r="K129" s="26" t="e">
        <f>+J129*1.71428571428571</f>
        <v>#REF!</v>
      </c>
      <c r="L129" s="26">
        <v>1400000</v>
      </c>
      <c r="M129" s="26">
        <v>1370000</v>
      </c>
      <c r="N129" s="26">
        <v>1405000</v>
      </c>
      <c r="O129" s="26" t="e">
        <f>VLOOKUP(B129,[3]כספי!$A$1:$E$324,5,0)</f>
        <v>#N/A</v>
      </c>
      <c r="P129" s="26">
        <f>VLOOKUP(B:B,'[3]תקבולים 2017'!B:R,15,0)</f>
        <v>0</v>
      </c>
      <c r="Q129" s="26">
        <f>-VLOOKUP(B:B,'[3]דוח כספי 10.17 מעודכן'!A:D,4,0)</f>
        <v>0</v>
      </c>
      <c r="R129" s="26">
        <f>VLOOKUP(B:B,'[3]תקבולים 2017'!B:T,17,0)</f>
        <v>0</v>
      </c>
      <c r="S129" s="26">
        <f t="shared" si="46"/>
        <v>0</v>
      </c>
      <c r="T129" s="27">
        <v>0</v>
      </c>
      <c r="U129" s="40">
        <f t="shared" si="47"/>
        <v>1</v>
      </c>
      <c r="V129" s="41">
        <f t="shared" si="49"/>
        <v>-1405000</v>
      </c>
      <c r="W129" s="42">
        <f t="shared" si="48"/>
        <v>0</v>
      </c>
      <c r="X129" s="45">
        <v>1311131920</v>
      </c>
    </row>
    <row r="130" spans="1:24" s="39" customFormat="1" ht="24.95" customHeight="1">
      <c r="A130" s="39">
        <v>9</v>
      </c>
      <c r="B130" s="24">
        <v>1315170920</v>
      </c>
      <c r="C130" s="25" t="str">
        <f t="shared" si="41"/>
        <v>920</v>
      </c>
      <c r="D130" s="25" t="str">
        <f t="shared" si="42"/>
        <v>315170</v>
      </c>
      <c r="E130" s="25" t="s">
        <v>148</v>
      </c>
      <c r="F130" s="26">
        <v>27000</v>
      </c>
      <c r="G130" s="26">
        <v>61580.08</v>
      </c>
      <c r="H130" s="26">
        <f t="shared" si="43"/>
        <v>73896.09599999999</v>
      </c>
      <c r="I130" s="26">
        <f t="shared" si="44"/>
        <v>73896.09599999999</v>
      </c>
      <c r="J130" s="26" t="e">
        <f>VLOOKUP(B130,#REF!,6,0)</f>
        <v>#REF!</v>
      </c>
      <c r="K130" s="26" t="e">
        <f>+J130*1.71428571428571</f>
        <v>#REF!</v>
      </c>
      <c r="L130" s="26">
        <v>40000</v>
      </c>
      <c r="M130" s="26">
        <v>27500</v>
      </c>
      <c r="N130" s="26">
        <v>40000</v>
      </c>
      <c r="O130" s="26" t="e">
        <f>VLOOKUP(B130,[3]כספי!$A$1:$E$324,5,0)</f>
        <v>#N/A</v>
      </c>
      <c r="P130" s="26">
        <f>VLOOKUP(B:B,'[3]תקבולים 2017'!B:R,15,0)</f>
        <v>2667000</v>
      </c>
      <c r="Q130" s="26">
        <f>-VLOOKUP(B:B,'[3]דוח כספי 10.17 מעודכן'!A:D,4,0)</f>
        <v>2604420.58</v>
      </c>
      <c r="R130" s="26">
        <f>VLOOKUP(B:B,'[3]תקבולים 2017'!B:T,17,0)</f>
        <v>2984000</v>
      </c>
      <c r="S130" s="26">
        <f t="shared" si="46"/>
        <v>3125304.6960000005</v>
      </c>
      <c r="T130" s="27">
        <v>0</v>
      </c>
      <c r="U130" s="40">
        <f t="shared" si="47"/>
        <v>1</v>
      </c>
      <c r="V130" s="41">
        <f t="shared" si="49"/>
        <v>2564420.58</v>
      </c>
      <c r="W130" s="42">
        <f t="shared" si="48"/>
        <v>62579.419999999925</v>
      </c>
      <c r="X130" s="45" t="s">
        <v>149</v>
      </c>
    </row>
    <row r="131" spans="1:24" s="39" customFormat="1" ht="24.95" customHeight="1">
      <c r="A131" s="39">
        <v>9</v>
      </c>
      <c r="B131" s="24">
        <v>1315171920</v>
      </c>
      <c r="C131" s="25" t="str">
        <f t="shared" si="41"/>
        <v>920</v>
      </c>
      <c r="D131" s="25" t="str">
        <f t="shared" si="42"/>
        <v>315171</v>
      </c>
      <c r="E131" s="25" t="s">
        <v>150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 t="e">
        <f>VLOOKUP(B131,[3]כספי!$A$1:$E$324,5,0)</f>
        <v>#N/A</v>
      </c>
      <c r="P131" s="26">
        <f>VLOOKUP(B:B,'[3]תקבולים 2017'!B:R,15,0)</f>
        <v>0</v>
      </c>
      <c r="Q131" s="26">
        <f>-VLOOKUP(B:B,'[3]דוח כספי 10.17 מעודכן'!A:D,4,0)</f>
        <v>1399187.4</v>
      </c>
      <c r="R131" s="26">
        <f>VLOOKUP(B:B,'[3]תקבולים 2017'!B:T,17,0)</f>
        <v>2119000</v>
      </c>
      <c r="S131" s="26">
        <f t="shared" si="46"/>
        <v>1679024.88</v>
      </c>
      <c r="T131" s="27">
        <v>0</v>
      </c>
      <c r="U131" s="40"/>
      <c r="V131" s="41">
        <f t="shared" si="49"/>
        <v>1399187.4</v>
      </c>
      <c r="W131" s="42">
        <f t="shared" si="48"/>
        <v>-1399187.4</v>
      </c>
      <c r="X131" s="45" t="s">
        <v>151</v>
      </c>
    </row>
    <row r="132" spans="1:24" ht="24.95" customHeight="1">
      <c r="A132" s="1">
        <v>10</v>
      </c>
      <c r="B132" s="24">
        <v>1315180740</v>
      </c>
      <c r="C132" s="25" t="str">
        <f t="shared" si="41"/>
        <v>740</v>
      </c>
      <c r="D132" s="25" t="str">
        <f t="shared" si="42"/>
        <v>315180</v>
      </c>
      <c r="E132" s="25" t="s">
        <v>152</v>
      </c>
      <c r="F132" s="26">
        <v>60000</v>
      </c>
      <c r="G132" s="26">
        <v>41314.89</v>
      </c>
      <c r="H132" s="26">
        <f>G132*12/10</f>
        <v>49577.868000000002</v>
      </c>
      <c r="I132" s="26">
        <f>H132</f>
        <v>49577.868000000002</v>
      </c>
      <c r="J132" s="26" t="e">
        <f>VLOOKUP(B132,#REF!,6,0)</f>
        <v>#REF!</v>
      </c>
      <c r="K132" s="26" t="e">
        <f>+J132*1.71428571428571</f>
        <v>#REF!</v>
      </c>
      <c r="L132" s="26">
        <v>60000</v>
      </c>
      <c r="M132" s="26">
        <v>48700</v>
      </c>
      <c r="N132" s="26">
        <v>50000</v>
      </c>
      <c r="O132" s="26" t="e">
        <f>VLOOKUP(B132,[3]כספי!$A$1:$E$324,5,0)</f>
        <v>#N/A</v>
      </c>
      <c r="P132" s="26">
        <f>VLOOKUP(B:B,'[3]תקבולים 2017'!B:R,15,0)</f>
        <v>70000</v>
      </c>
      <c r="Q132" s="26">
        <f>-VLOOKUP(B:B,'[3]דוח כספי 10.17 מעודכן'!A:D,4,0)</f>
        <v>0</v>
      </c>
      <c r="R132" s="26">
        <f>VLOOKUP(B:B,'[3]תקבולים 2017'!B:T,17,0)</f>
        <v>0</v>
      </c>
      <c r="S132" s="26">
        <f t="shared" si="46"/>
        <v>0</v>
      </c>
      <c r="T132" s="27">
        <v>0</v>
      </c>
      <c r="U132" s="12">
        <f>IF(ISBLANK(B132),1,--OR(L132&gt;1,M132&gt;1,N132&gt;1))</f>
        <v>1</v>
      </c>
      <c r="V132" s="22">
        <f t="shared" si="49"/>
        <v>-50000</v>
      </c>
      <c r="W132" s="23">
        <f t="shared" si="48"/>
        <v>70000</v>
      </c>
      <c r="X132" s="45"/>
    </row>
    <row r="133" spans="1:24" ht="24.95" customHeight="1">
      <c r="A133" s="1">
        <v>9</v>
      </c>
      <c r="B133" s="24">
        <v>1315180920</v>
      </c>
      <c r="C133" s="25" t="str">
        <f t="shared" si="41"/>
        <v>920</v>
      </c>
      <c r="D133" s="25" t="str">
        <f t="shared" si="42"/>
        <v>315180</v>
      </c>
      <c r="E133" s="25" t="s">
        <v>153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44"/>
      <c r="P133" s="26">
        <v>0</v>
      </c>
      <c r="Q133" s="26">
        <v>0</v>
      </c>
      <c r="R133" s="26">
        <v>0</v>
      </c>
      <c r="S133" s="26">
        <v>0</v>
      </c>
      <c r="T133" s="27">
        <v>231000</v>
      </c>
      <c r="U133" s="46"/>
      <c r="V133" s="47"/>
      <c r="W133" s="48"/>
      <c r="X133" s="45">
        <v>1317510920</v>
      </c>
    </row>
    <row r="134" spans="1:24" ht="24.95" hidden="1" customHeight="1">
      <c r="A134" s="1">
        <v>9</v>
      </c>
      <c r="B134" s="18">
        <v>1315200920</v>
      </c>
      <c r="C134" s="19" t="str">
        <f t="shared" si="41"/>
        <v>920</v>
      </c>
      <c r="D134" s="19" t="str">
        <f t="shared" si="42"/>
        <v>315200</v>
      </c>
      <c r="E134" s="19" t="s">
        <v>154</v>
      </c>
      <c r="F134" s="20"/>
      <c r="G134" s="20"/>
      <c r="H134" s="20"/>
      <c r="I134" s="20"/>
      <c r="J134" s="20"/>
      <c r="K134" s="20"/>
      <c r="L134" s="20"/>
      <c r="M134" s="20"/>
      <c r="N134" s="20"/>
      <c r="O134" s="20">
        <f>VLOOKUP(B134,[3]כספי!$A$1:$E$324,5,0)</f>
        <v>4927822.71</v>
      </c>
      <c r="P134" s="20">
        <f>VLOOKUP(B:B,'[3]תקבולים 2017'!B:R,15,0)</f>
        <v>0</v>
      </c>
      <c r="Q134" s="20">
        <f>-VLOOKUP(B:B,'[3]דוח כספי 10.17 מעודכן'!A:D,4,0)</f>
        <v>0</v>
      </c>
      <c r="R134" s="20">
        <f>VLOOKUP(B:B,'[3]תקבולים 2017'!B:T,17,0)</f>
        <v>0</v>
      </c>
      <c r="S134" s="20">
        <f>Q134/10*12</f>
        <v>0</v>
      </c>
      <c r="T134" s="21">
        <v>0</v>
      </c>
      <c r="U134" s="12"/>
      <c r="V134" s="22">
        <f>+Q134-N134</f>
        <v>0</v>
      </c>
      <c r="W134" s="23">
        <f>P134-Q134</f>
        <v>0</v>
      </c>
      <c r="X134" s="45"/>
    </row>
    <row r="135" spans="1:24" ht="24.95" customHeight="1">
      <c r="A135" s="1">
        <v>9</v>
      </c>
      <c r="B135" s="24">
        <v>1315207920</v>
      </c>
      <c r="C135" s="25" t="str">
        <f t="shared" si="41"/>
        <v>920</v>
      </c>
      <c r="D135" s="25" t="str">
        <f t="shared" si="42"/>
        <v>315207</v>
      </c>
      <c r="E135" s="25" t="s">
        <v>155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44"/>
      <c r="P135" s="26">
        <v>0</v>
      </c>
      <c r="Q135" s="26">
        <v>0</v>
      </c>
      <c r="R135" s="26">
        <v>0</v>
      </c>
      <c r="S135" s="26">
        <v>0</v>
      </c>
      <c r="T135" s="27">
        <v>38000</v>
      </c>
      <c r="U135" s="46"/>
      <c r="V135" s="47"/>
      <c r="W135" s="48"/>
      <c r="X135" s="45">
        <v>1317500920</v>
      </c>
    </row>
    <row r="136" spans="1:24" ht="24.95" customHeight="1">
      <c r="A136" s="1">
        <v>9</v>
      </c>
      <c r="B136" s="24">
        <v>1315208920</v>
      </c>
      <c r="C136" s="25" t="str">
        <f t="shared" si="41"/>
        <v>920</v>
      </c>
      <c r="D136" s="25" t="str">
        <f t="shared" si="42"/>
        <v>315208</v>
      </c>
      <c r="E136" s="25" t="s">
        <v>156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44"/>
      <c r="P136" s="26">
        <v>0</v>
      </c>
      <c r="Q136" s="26">
        <v>0</v>
      </c>
      <c r="R136" s="26">
        <v>0</v>
      </c>
      <c r="S136" s="26">
        <v>0</v>
      </c>
      <c r="T136" s="27">
        <v>48000</v>
      </c>
      <c r="U136" s="46"/>
      <c r="V136" s="47"/>
      <c r="W136" s="48"/>
      <c r="X136" s="45">
        <v>1317896920</v>
      </c>
    </row>
    <row r="137" spans="1:24" ht="24.95" customHeight="1">
      <c r="A137" s="1">
        <v>9</v>
      </c>
      <c r="B137" s="24">
        <v>1315209920</v>
      </c>
      <c r="C137" s="25" t="str">
        <f t="shared" si="41"/>
        <v>920</v>
      </c>
      <c r="D137" s="25" t="str">
        <f t="shared" si="42"/>
        <v>315209</v>
      </c>
      <c r="E137" s="25" t="s">
        <v>157</v>
      </c>
      <c r="F137" s="26"/>
      <c r="G137" s="26"/>
      <c r="H137" s="26"/>
      <c r="I137" s="26"/>
      <c r="J137" s="26"/>
      <c r="K137" s="26"/>
      <c r="L137" s="26"/>
      <c r="M137" s="26"/>
      <c r="N137" s="26"/>
      <c r="O137" s="44"/>
      <c r="P137" s="26">
        <v>0</v>
      </c>
      <c r="Q137" s="26">
        <v>0</v>
      </c>
      <c r="R137" s="26">
        <v>0</v>
      </c>
      <c r="S137" s="26">
        <v>0</v>
      </c>
      <c r="T137" s="27">
        <v>9000</v>
      </c>
      <c r="U137" s="46"/>
      <c r="V137" s="47"/>
      <c r="W137" s="48"/>
      <c r="X137" s="45">
        <v>1317850920</v>
      </c>
    </row>
    <row r="138" spans="1:24" ht="24.95" customHeight="1">
      <c r="A138" s="1">
        <v>9</v>
      </c>
      <c r="B138" s="24">
        <v>1315215920</v>
      </c>
      <c r="C138" s="25" t="str">
        <f t="shared" si="41"/>
        <v>920</v>
      </c>
      <c r="D138" s="25" t="str">
        <f t="shared" si="42"/>
        <v>315215</v>
      </c>
      <c r="E138" s="25" t="s">
        <v>158</v>
      </c>
      <c r="F138" s="26"/>
      <c r="G138" s="26"/>
      <c r="H138" s="26"/>
      <c r="I138" s="26"/>
      <c r="J138" s="26"/>
      <c r="K138" s="26"/>
      <c r="L138" s="26"/>
      <c r="M138" s="26"/>
      <c r="N138" s="26"/>
      <c r="O138" s="44"/>
      <c r="P138" s="26">
        <v>0</v>
      </c>
      <c r="Q138" s="26">
        <v>0</v>
      </c>
      <c r="R138" s="26">
        <v>0</v>
      </c>
      <c r="S138" s="26">
        <v>0</v>
      </c>
      <c r="T138" s="27">
        <v>62000</v>
      </c>
      <c r="U138" s="46"/>
      <c r="V138" s="47"/>
      <c r="W138" s="48"/>
      <c r="X138" s="45">
        <v>1317567920</v>
      </c>
    </row>
    <row r="139" spans="1:24" ht="24.95" customHeight="1">
      <c r="A139" s="1">
        <v>9</v>
      </c>
      <c r="B139" s="24">
        <v>1315216920</v>
      </c>
      <c r="C139" s="25" t="str">
        <f t="shared" si="41"/>
        <v>920</v>
      </c>
      <c r="D139" s="25" t="str">
        <f t="shared" si="42"/>
        <v>315216</v>
      </c>
      <c r="E139" s="25" t="s">
        <v>159</v>
      </c>
      <c r="F139" s="26"/>
      <c r="G139" s="26"/>
      <c r="H139" s="26"/>
      <c r="I139" s="26"/>
      <c r="J139" s="26"/>
      <c r="K139" s="26"/>
      <c r="L139" s="26"/>
      <c r="M139" s="26"/>
      <c r="N139" s="26"/>
      <c r="O139" s="44"/>
      <c r="P139" s="26">
        <v>0</v>
      </c>
      <c r="Q139" s="26">
        <v>0</v>
      </c>
      <c r="R139" s="26">
        <v>0</v>
      </c>
      <c r="S139" s="26">
        <v>0</v>
      </c>
      <c r="T139" s="27">
        <v>3000</v>
      </c>
      <c r="U139" s="46"/>
      <c r="V139" s="47"/>
      <c r="W139" s="48"/>
      <c r="X139" s="45">
        <v>1317568920</v>
      </c>
    </row>
    <row r="140" spans="1:24" ht="24.95" customHeight="1">
      <c r="A140" s="1">
        <v>9</v>
      </c>
      <c r="B140" s="24">
        <v>1315251920</v>
      </c>
      <c r="C140" s="25" t="str">
        <f t="shared" si="41"/>
        <v>920</v>
      </c>
      <c r="D140" s="25" t="str">
        <f t="shared" si="42"/>
        <v>315251</v>
      </c>
      <c r="E140" s="25" t="s">
        <v>160</v>
      </c>
      <c r="F140" s="26"/>
      <c r="G140" s="26"/>
      <c r="H140" s="26"/>
      <c r="I140" s="26"/>
      <c r="J140" s="26"/>
      <c r="K140" s="26"/>
      <c r="L140" s="26"/>
      <c r="M140" s="26"/>
      <c r="N140" s="26"/>
      <c r="O140" s="44"/>
      <c r="P140" s="26">
        <v>0</v>
      </c>
      <c r="Q140" s="26">
        <v>0</v>
      </c>
      <c r="R140" s="26">
        <v>0</v>
      </c>
      <c r="S140" s="26"/>
      <c r="T140" s="27">
        <v>79000</v>
      </c>
      <c r="U140" s="46"/>
      <c r="V140" s="47"/>
      <c r="W140" s="48"/>
      <c r="X140" s="45">
        <v>1315170920</v>
      </c>
    </row>
    <row r="141" spans="1:24" ht="24.95" customHeight="1">
      <c r="A141" s="1">
        <v>9</v>
      </c>
      <c r="B141" s="24">
        <v>1315710920</v>
      </c>
      <c r="C141" s="25" t="str">
        <f t="shared" si="41"/>
        <v>920</v>
      </c>
      <c r="D141" s="25" t="str">
        <f t="shared" si="42"/>
        <v>315710</v>
      </c>
      <c r="E141" s="25" t="s">
        <v>161</v>
      </c>
      <c r="F141" s="26"/>
      <c r="G141" s="26"/>
      <c r="H141" s="26"/>
      <c r="I141" s="26"/>
      <c r="J141" s="26"/>
      <c r="K141" s="26"/>
      <c r="L141" s="26"/>
      <c r="M141" s="26"/>
      <c r="N141" s="26"/>
      <c r="O141" s="44"/>
      <c r="P141" s="26">
        <v>0</v>
      </c>
      <c r="Q141" s="26">
        <v>0</v>
      </c>
      <c r="R141" s="26">
        <v>0</v>
      </c>
      <c r="S141" s="26">
        <v>0</v>
      </c>
      <c r="T141" s="27">
        <v>14000</v>
      </c>
      <c r="U141" s="46"/>
      <c r="V141" s="47"/>
      <c r="W141" s="48"/>
      <c r="X141" s="45">
        <v>1317898920</v>
      </c>
    </row>
    <row r="142" spans="1:24" ht="24.95" customHeight="1">
      <c r="A142" s="1">
        <v>9</v>
      </c>
      <c r="B142" s="24">
        <v>1315711920</v>
      </c>
      <c r="C142" s="25" t="str">
        <f t="shared" si="41"/>
        <v>920</v>
      </c>
      <c r="D142" s="25" t="str">
        <f t="shared" si="42"/>
        <v>315711</v>
      </c>
      <c r="E142" s="25" t="s">
        <v>142</v>
      </c>
      <c r="F142" s="26"/>
      <c r="G142" s="26"/>
      <c r="H142" s="26"/>
      <c r="I142" s="26"/>
      <c r="J142" s="26"/>
      <c r="K142" s="26"/>
      <c r="L142" s="26"/>
      <c r="M142" s="26"/>
      <c r="N142" s="26"/>
      <c r="O142" s="44"/>
      <c r="P142" s="26">
        <v>0</v>
      </c>
      <c r="Q142" s="26">
        <v>0</v>
      </c>
      <c r="R142" s="26">
        <v>0</v>
      </c>
      <c r="S142" s="26">
        <v>0</v>
      </c>
      <c r="T142" s="27">
        <v>7000</v>
      </c>
      <c r="U142" s="46"/>
      <c r="V142" s="47"/>
      <c r="W142" s="48"/>
      <c r="X142" s="45">
        <v>1315120920</v>
      </c>
    </row>
    <row r="143" spans="1:24" ht="24.95" customHeight="1">
      <c r="A143" s="1">
        <v>9</v>
      </c>
      <c r="B143" s="24">
        <v>1315712920</v>
      </c>
      <c r="C143" s="25" t="str">
        <f t="shared" si="41"/>
        <v>920</v>
      </c>
      <c r="D143" s="25" t="str">
        <f t="shared" si="42"/>
        <v>315712</v>
      </c>
      <c r="E143" s="25" t="s">
        <v>162</v>
      </c>
      <c r="F143" s="26"/>
      <c r="G143" s="26"/>
      <c r="H143" s="26"/>
      <c r="I143" s="26"/>
      <c r="J143" s="26"/>
      <c r="K143" s="26"/>
      <c r="L143" s="26"/>
      <c r="M143" s="26"/>
      <c r="N143" s="26"/>
      <c r="O143" s="44"/>
      <c r="P143" s="26">
        <v>0</v>
      </c>
      <c r="Q143" s="26">
        <v>0</v>
      </c>
      <c r="R143" s="26">
        <v>0</v>
      </c>
      <c r="S143" s="26">
        <v>0</v>
      </c>
      <c r="T143" s="27">
        <v>33000</v>
      </c>
      <c r="U143" s="46"/>
      <c r="V143" s="47"/>
      <c r="W143" s="48"/>
      <c r="X143" s="45">
        <v>1317897920</v>
      </c>
    </row>
    <row r="144" spans="1:24" ht="24.95" customHeight="1">
      <c r="A144" s="1">
        <v>9</v>
      </c>
      <c r="B144" s="24">
        <v>1315713920</v>
      </c>
      <c r="C144" s="25" t="str">
        <f t="shared" si="41"/>
        <v>920</v>
      </c>
      <c r="D144" s="25" t="str">
        <f t="shared" si="42"/>
        <v>315713</v>
      </c>
      <c r="E144" s="25" t="s">
        <v>92</v>
      </c>
      <c r="F144" s="26"/>
      <c r="G144" s="26"/>
      <c r="H144" s="26"/>
      <c r="I144" s="26"/>
      <c r="J144" s="26"/>
      <c r="K144" s="26"/>
      <c r="L144" s="26"/>
      <c r="M144" s="26"/>
      <c r="N144" s="26"/>
      <c r="O144" s="44"/>
      <c r="P144" s="26">
        <v>0</v>
      </c>
      <c r="Q144" s="26">
        <v>0</v>
      </c>
      <c r="R144" s="26">
        <v>0</v>
      </c>
      <c r="S144" s="26">
        <v>0</v>
      </c>
      <c r="T144" s="27">
        <v>637000</v>
      </c>
      <c r="U144" s="46"/>
      <c r="V144" s="47"/>
      <c r="W144" s="48"/>
      <c r="X144" s="45">
        <v>1312220920</v>
      </c>
    </row>
    <row r="145" spans="1:24" ht="24.95" customHeight="1">
      <c r="A145" s="1">
        <v>9</v>
      </c>
      <c r="B145" s="24">
        <v>1315721920</v>
      </c>
      <c r="C145" s="25" t="str">
        <f t="shared" si="41"/>
        <v>920</v>
      </c>
      <c r="D145" s="25" t="str">
        <f t="shared" si="42"/>
        <v>315721</v>
      </c>
      <c r="E145" s="25" t="s">
        <v>163</v>
      </c>
      <c r="F145" s="26"/>
      <c r="G145" s="26"/>
      <c r="H145" s="26"/>
      <c r="I145" s="26"/>
      <c r="J145" s="26"/>
      <c r="K145" s="26"/>
      <c r="L145" s="26"/>
      <c r="M145" s="26"/>
      <c r="N145" s="26"/>
      <c r="O145" s="44"/>
      <c r="P145" s="26">
        <v>0</v>
      </c>
      <c r="Q145" s="26">
        <v>0</v>
      </c>
      <c r="R145" s="26">
        <v>0</v>
      </c>
      <c r="S145" s="26">
        <v>0</v>
      </c>
      <c r="T145" s="27">
        <v>175000</v>
      </c>
      <c r="U145" s="46"/>
      <c r="V145" s="47"/>
      <c r="W145" s="48"/>
      <c r="X145" s="45">
        <v>1317561920</v>
      </c>
    </row>
    <row r="146" spans="1:24" ht="24.95" customHeight="1">
      <c r="A146" s="1">
        <v>9</v>
      </c>
      <c r="B146" s="24">
        <v>1315722920</v>
      </c>
      <c r="C146" s="25" t="str">
        <f t="shared" si="41"/>
        <v>920</v>
      </c>
      <c r="D146" s="25" t="str">
        <f t="shared" si="42"/>
        <v>315722</v>
      </c>
      <c r="E146" s="25" t="s">
        <v>164</v>
      </c>
      <c r="F146" s="26"/>
      <c r="G146" s="26"/>
      <c r="H146" s="26"/>
      <c r="I146" s="26"/>
      <c r="J146" s="26"/>
      <c r="K146" s="26"/>
      <c r="L146" s="26"/>
      <c r="M146" s="26"/>
      <c r="N146" s="26"/>
      <c r="O146" s="44"/>
      <c r="P146" s="26">
        <v>0</v>
      </c>
      <c r="Q146" s="26">
        <v>0</v>
      </c>
      <c r="R146" s="26">
        <v>0</v>
      </c>
      <c r="S146" s="26">
        <v>0</v>
      </c>
      <c r="T146" s="27">
        <v>571000</v>
      </c>
      <c r="U146" s="46"/>
      <c r="V146" s="47"/>
      <c r="W146" s="48"/>
      <c r="X146" s="45">
        <v>1317530920</v>
      </c>
    </row>
    <row r="147" spans="1:24" ht="24.95" customHeight="1">
      <c r="A147" s="1">
        <v>9</v>
      </c>
      <c r="B147" s="24">
        <v>1315723920</v>
      </c>
      <c r="C147" s="25" t="str">
        <f t="shared" si="41"/>
        <v>920</v>
      </c>
      <c r="D147" s="25" t="str">
        <f t="shared" si="42"/>
        <v>315723</v>
      </c>
      <c r="E147" s="25" t="s">
        <v>165</v>
      </c>
      <c r="F147" s="26"/>
      <c r="G147" s="26"/>
      <c r="H147" s="26"/>
      <c r="I147" s="26"/>
      <c r="J147" s="26"/>
      <c r="K147" s="26"/>
      <c r="L147" s="26"/>
      <c r="M147" s="26"/>
      <c r="N147" s="26"/>
      <c r="O147" s="44"/>
      <c r="P147" s="26">
        <v>0</v>
      </c>
      <c r="Q147" s="26">
        <v>0</v>
      </c>
      <c r="R147" s="26">
        <v>0</v>
      </c>
      <c r="S147" s="26">
        <v>0</v>
      </c>
      <c r="T147" s="27">
        <v>35000</v>
      </c>
      <c r="U147" s="46"/>
      <c r="V147" s="47"/>
      <c r="W147" s="48"/>
      <c r="X147" s="45">
        <v>1324000920</v>
      </c>
    </row>
    <row r="148" spans="1:24" ht="24.95" customHeight="1">
      <c r="A148" s="1">
        <v>9</v>
      </c>
      <c r="B148" s="24">
        <v>1315724920</v>
      </c>
      <c r="C148" s="25" t="str">
        <f t="shared" si="41"/>
        <v>920</v>
      </c>
      <c r="D148" s="25" t="str">
        <f t="shared" si="42"/>
        <v>315724</v>
      </c>
      <c r="E148" s="25" t="s">
        <v>166</v>
      </c>
      <c r="F148" s="26"/>
      <c r="G148" s="26"/>
      <c r="H148" s="26"/>
      <c r="I148" s="26"/>
      <c r="J148" s="26"/>
      <c r="K148" s="26"/>
      <c r="L148" s="26"/>
      <c r="M148" s="26"/>
      <c r="N148" s="26"/>
      <c r="O148" s="44"/>
      <c r="P148" s="26">
        <v>0</v>
      </c>
      <c r="Q148" s="26">
        <v>0</v>
      </c>
      <c r="R148" s="26">
        <v>0</v>
      </c>
      <c r="S148" s="26">
        <v>0</v>
      </c>
      <c r="T148" s="27">
        <v>5000</v>
      </c>
      <c r="U148" s="46"/>
      <c r="V148" s="47"/>
      <c r="W148" s="48"/>
      <c r="X148" s="45">
        <v>1317895920</v>
      </c>
    </row>
    <row r="149" spans="1:24" ht="24.95" customHeight="1">
      <c r="A149" s="1">
        <v>9</v>
      </c>
      <c r="B149" s="24">
        <v>1315725920</v>
      </c>
      <c r="C149" s="25" t="str">
        <f t="shared" si="41"/>
        <v>920</v>
      </c>
      <c r="D149" s="25" t="str">
        <f t="shared" si="42"/>
        <v>315725</v>
      </c>
      <c r="E149" s="25" t="s">
        <v>167</v>
      </c>
      <c r="F149" s="26"/>
      <c r="G149" s="26"/>
      <c r="H149" s="26"/>
      <c r="I149" s="26"/>
      <c r="J149" s="26"/>
      <c r="K149" s="26"/>
      <c r="L149" s="26"/>
      <c r="M149" s="26"/>
      <c r="N149" s="26"/>
      <c r="O149" s="44"/>
      <c r="P149" s="26">
        <v>0</v>
      </c>
      <c r="Q149" s="26">
        <v>0</v>
      </c>
      <c r="R149" s="26">
        <v>0</v>
      </c>
      <c r="S149" s="26">
        <v>0</v>
      </c>
      <c r="T149" s="27">
        <v>84000</v>
      </c>
      <c r="U149" s="46"/>
      <c r="V149" s="47"/>
      <c r="W149" s="48"/>
      <c r="X149" s="45">
        <v>1317800920</v>
      </c>
    </row>
    <row r="150" spans="1:24" ht="24.95" hidden="1" customHeight="1">
      <c r="A150" s="1">
        <v>9</v>
      </c>
      <c r="B150" s="24">
        <v>1315726920</v>
      </c>
      <c r="C150" s="25" t="str">
        <f t="shared" si="41"/>
        <v>920</v>
      </c>
      <c r="D150" s="25" t="str">
        <f t="shared" si="42"/>
        <v>315726</v>
      </c>
      <c r="E150" s="25" t="s">
        <v>168</v>
      </c>
      <c r="F150" s="26"/>
      <c r="G150" s="26"/>
      <c r="H150" s="26"/>
      <c r="I150" s="26"/>
      <c r="J150" s="26"/>
      <c r="K150" s="26"/>
      <c r="L150" s="26"/>
      <c r="M150" s="26"/>
      <c r="N150" s="26"/>
      <c r="O150" s="44"/>
      <c r="P150" s="26">
        <v>0</v>
      </c>
      <c r="Q150" s="26">
        <v>0</v>
      </c>
      <c r="R150" s="26">
        <v>0</v>
      </c>
      <c r="S150" s="26">
        <v>0</v>
      </c>
      <c r="T150" s="27">
        <v>0</v>
      </c>
      <c r="U150" s="46"/>
      <c r="V150" s="47"/>
      <c r="W150" s="48"/>
      <c r="X150" s="45">
        <v>1312210920</v>
      </c>
    </row>
    <row r="151" spans="1:24" ht="24.95" customHeight="1">
      <c r="A151" s="1">
        <v>9</v>
      </c>
      <c r="B151" s="24">
        <v>1315727920</v>
      </c>
      <c r="C151" s="25" t="str">
        <f t="shared" si="41"/>
        <v>920</v>
      </c>
      <c r="D151" s="25" t="str">
        <f t="shared" si="42"/>
        <v>315727</v>
      </c>
      <c r="E151" s="25" t="s">
        <v>169</v>
      </c>
      <c r="F151" s="26"/>
      <c r="G151" s="26"/>
      <c r="H151" s="26"/>
      <c r="I151" s="26"/>
      <c r="J151" s="26"/>
      <c r="K151" s="26"/>
      <c r="L151" s="26"/>
      <c r="M151" s="26"/>
      <c r="N151" s="26"/>
      <c r="O151" s="44"/>
      <c r="P151" s="26">
        <v>0</v>
      </c>
      <c r="Q151" s="26">
        <v>0</v>
      </c>
      <c r="R151" s="26">
        <v>0</v>
      </c>
      <c r="S151" s="26">
        <v>0</v>
      </c>
      <c r="T151" s="27">
        <v>700000</v>
      </c>
      <c r="U151" s="46"/>
      <c r="V151" s="47"/>
      <c r="W151" s="48"/>
      <c r="X151" s="45">
        <v>1315171920</v>
      </c>
    </row>
    <row r="152" spans="1:24" ht="24.95" customHeight="1">
      <c r="A152" s="1">
        <v>9</v>
      </c>
      <c r="B152" s="24">
        <v>1315730920</v>
      </c>
      <c r="C152" s="25" t="str">
        <f t="shared" si="41"/>
        <v>920</v>
      </c>
      <c r="D152" s="25" t="str">
        <f t="shared" si="42"/>
        <v>315730</v>
      </c>
      <c r="E152" s="25" t="s">
        <v>170</v>
      </c>
      <c r="F152" s="26"/>
      <c r="G152" s="26"/>
      <c r="H152" s="26"/>
      <c r="I152" s="26"/>
      <c r="J152" s="26"/>
      <c r="K152" s="26"/>
      <c r="L152" s="26"/>
      <c r="M152" s="26"/>
      <c r="N152" s="26"/>
      <c r="O152" s="44"/>
      <c r="P152" s="26">
        <v>0</v>
      </c>
      <c r="Q152" s="26">
        <v>0</v>
      </c>
      <c r="R152" s="26">
        <v>0</v>
      </c>
      <c r="S152" s="26">
        <v>0</v>
      </c>
      <c r="T152" s="27">
        <v>7500</v>
      </c>
      <c r="U152" s="46"/>
      <c r="V152" s="47"/>
      <c r="W152" s="48"/>
      <c r="X152" s="45">
        <v>1317740920</v>
      </c>
    </row>
    <row r="153" spans="1:24" ht="24.95" customHeight="1">
      <c r="A153" s="1">
        <v>9</v>
      </c>
      <c r="B153" s="24">
        <v>1315731920</v>
      </c>
      <c r="C153" s="25" t="str">
        <f t="shared" si="41"/>
        <v>920</v>
      </c>
      <c r="D153" s="25" t="str">
        <f t="shared" si="42"/>
        <v>315731</v>
      </c>
      <c r="E153" s="25" t="s">
        <v>171</v>
      </c>
      <c r="F153" s="26"/>
      <c r="G153" s="26"/>
      <c r="H153" s="26"/>
      <c r="I153" s="26"/>
      <c r="J153" s="26"/>
      <c r="K153" s="26"/>
      <c r="L153" s="26"/>
      <c r="M153" s="26"/>
      <c r="N153" s="26"/>
      <c r="O153" s="44"/>
      <c r="P153" s="26">
        <v>0</v>
      </c>
      <c r="Q153" s="26">
        <v>0</v>
      </c>
      <c r="R153" s="26">
        <v>0</v>
      </c>
      <c r="S153" s="26">
        <v>0</v>
      </c>
      <c r="T153" s="27">
        <v>513000</v>
      </c>
      <c r="U153" s="46"/>
      <c r="V153" s="47"/>
      <c r="W153" s="48"/>
      <c r="X153" s="45">
        <v>1317896920</v>
      </c>
    </row>
    <row r="154" spans="1:24" ht="24.95" customHeight="1">
      <c r="A154" s="1">
        <v>9</v>
      </c>
      <c r="B154" s="24">
        <v>1315732920</v>
      </c>
      <c r="C154" s="25" t="str">
        <f t="shared" si="41"/>
        <v>920</v>
      </c>
      <c r="D154" s="25" t="str">
        <f t="shared" si="42"/>
        <v>315732</v>
      </c>
      <c r="E154" s="25" t="s">
        <v>172</v>
      </c>
      <c r="F154" s="26"/>
      <c r="G154" s="26"/>
      <c r="H154" s="26"/>
      <c r="I154" s="26"/>
      <c r="J154" s="26"/>
      <c r="K154" s="26"/>
      <c r="L154" s="26"/>
      <c r="M154" s="26"/>
      <c r="N154" s="26"/>
      <c r="O154" s="44"/>
      <c r="P154" s="26">
        <v>0</v>
      </c>
      <c r="Q154" s="26">
        <v>0</v>
      </c>
      <c r="R154" s="26">
        <v>0</v>
      </c>
      <c r="S154" s="26">
        <v>0</v>
      </c>
      <c r="T154" s="27">
        <v>357000</v>
      </c>
      <c r="U154" s="46"/>
      <c r="V154" s="47"/>
      <c r="W154" s="48"/>
      <c r="X154" s="45">
        <v>1315170920</v>
      </c>
    </row>
    <row r="155" spans="1:24" ht="24.95" customHeight="1">
      <c r="A155" s="1">
        <v>9</v>
      </c>
      <c r="B155" s="24">
        <v>1315734920</v>
      </c>
      <c r="C155" s="25" t="str">
        <f t="shared" si="41"/>
        <v>920</v>
      </c>
      <c r="D155" s="25" t="str">
        <f t="shared" si="42"/>
        <v>315734</v>
      </c>
      <c r="E155" s="25" t="s">
        <v>173</v>
      </c>
      <c r="F155" s="26"/>
      <c r="G155" s="26"/>
      <c r="H155" s="26"/>
      <c r="I155" s="26"/>
      <c r="J155" s="26"/>
      <c r="K155" s="26"/>
      <c r="L155" s="26"/>
      <c r="M155" s="26"/>
      <c r="N155" s="26"/>
      <c r="O155" s="44"/>
      <c r="P155" s="26">
        <v>0</v>
      </c>
      <c r="Q155" s="26">
        <v>0</v>
      </c>
      <c r="R155" s="26">
        <v>0</v>
      </c>
      <c r="S155" s="26">
        <v>0</v>
      </c>
      <c r="T155" s="27">
        <v>131000</v>
      </c>
      <c r="U155" s="46"/>
      <c r="V155" s="47"/>
      <c r="W155" s="48"/>
      <c r="X155" s="45">
        <v>1317750920</v>
      </c>
    </row>
    <row r="156" spans="1:24" ht="24.95" customHeight="1">
      <c r="A156" s="1">
        <v>9</v>
      </c>
      <c r="B156" s="24">
        <v>1315735920</v>
      </c>
      <c r="C156" s="25" t="str">
        <f t="shared" si="41"/>
        <v>920</v>
      </c>
      <c r="D156" s="25" t="str">
        <f t="shared" si="42"/>
        <v>315735</v>
      </c>
      <c r="E156" s="64" t="s">
        <v>174</v>
      </c>
      <c r="F156" s="65"/>
      <c r="G156" s="65"/>
      <c r="H156" s="65"/>
      <c r="I156" s="65"/>
      <c r="J156" s="65"/>
      <c r="K156" s="65"/>
      <c r="L156" s="65"/>
      <c r="M156" s="65"/>
      <c r="N156" s="65"/>
      <c r="O156" s="44"/>
      <c r="P156" s="65">
        <v>0</v>
      </c>
      <c r="Q156" s="65">
        <v>0</v>
      </c>
      <c r="R156" s="65">
        <v>0</v>
      </c>
      <c r="S156" s="65">
        <v>0</v>
      </c>
      <c r="T156" s="54">
        <v>1614000</v>
      </c>
      <c r="U156" s="46"/>
      <c r="V156" s="47"/>
      <c r="W156" s="48"/>
      <c r="X156" s="45">
        <v>1315170920</v>
      </c>
    </row>
    <row r="157" spans="1:24" ht="24.95" customHeight="1">
      <c r="A157" s="1">
        <v>9</v>
      </c>
      <c r="B157" s="24">
        <v>1315740920</v>
      </c>
      <c r="C157" s="25" t="str">
        <f t="shared" si="41"/>
        <v>920</v>
      </c>
      <c r="D157" s="25" t="str">
        <f t="shared" si="42"/>
        <v>315740</v>
      </c>
      <c r="E157" s="64" t="s">
        <v>175</v>
      </c>
      <c r="F157" s="65"/>
      <c r="G157" s="65"/>
      <c r="H157" s="65"/>
      <c r="I157" s="65"/>
      <c r="J157" s="65"/>
      <c r="K157" s="65"/>
      <c r="L157" s="65"/>
      <c r="M157" s="65"/>
      <c r="N157" s="65"/>
      <c r="O157" s="44"/>
      <c r="P157" s="65">
        <v>0</v>
      </c>
      <c r="Q157" s="65">
        <v>0</v>
      </c>
      <c r="R157" s="65">
        <v>0</v>
      </c>
      <c r="S157" s="65">
        <v>0</v>
      </c>
      <c r="T157" s="54">
        <v>194000</v>
      </c>
      <c r="U157" s="46"/>
      <c r="V157" s="47"/>
      <c r="W157" s="48"/>
      <c r="X157" s="45">
        <v>1315170920</v>
      </c>
    </row>
    <row r="158" spans="1:24" ht="24.95" customHeight="1">
      <c r="A158" s="1">
        <v>9</v>
      </c>
      <c r="B158" s="24">
        <v>1315741920</v>
      </c>
      <c r="C158" s="25" t="str">
        <f t="shared" si="41"/>
        <v>920</v>
      </c>
      <c r="D158" s="25" t="str">
        <f t="shared" si="42"/>
        <v>315741</v>
      </c>
      <c r="E158" s="64" t="s">
        <v>176</v>
      </c>
      <c r="F158" s="65"/>
      <c r="G158" s="65"/>
      <c r="H158" s="65"/>
      <c r="I158" s="65"/>
      <c r="J158" s="65"/>
      <c r="K158" s="65"/>
      <c r="L158" s="65"/>
      <c r="M158" s="65"/>
      <c r="N158" s="65"/>
      <c r="O158" s="44"/>
      <c r="P158" s="65">
        <v>0</v>
      </c>
      <c r="Q158" s="65">
        <v>0</v>
      </c>
      <c r="R158" s="65">
        <v>0</v>
      </c>
      <c r="S158" s="65">
        <v>0</v>
      </c>
      <c r="T158" s="54">
        <v>957000</v>
      </c>
      <c r="U158" s="46"/>
      <c r="V158" s="47"/>
      <c r="W158" s="48"/>
      <c r="X158" s="45">
        <v>1315170920</v>
      </c>
    </row>
    <row r="159" spans="1:24" ht="24.95" customHeight="1">
      <c r="A159" s="1">
        <v>9</v>
      </c>
      <c r="B159" s="24">
        <v>1315750920</v>
      </c>
      <c r="C159" s="25" t="str">
        <f t="shared" si="41"/>
        <v>920</v>
      </c>
      <c r="D159" s="25" t="str">
        <f t="shared" si="42"/>
        <v>315750</v>
      </c>
      <c r="E159" s="64" t="s">
        <v>177</v>
      </c>
      <c r="F159" s="65"/>
      <c r="G159" s="65"/>
      <c r="H159" s="65"/>
      <c r="I159" s="65"/>
      <c r="J159" s="65"/>
      <c r="K159" s="65"/>
      <c r="L159" s="65"/>
      <c r="M159" s="65"/>
      <c r="N159" s="65"/>
      <c r="O159" s="44"/>
      <c r="P159" s="65">
        <v>0</v>
      </c>
      <c r="Q159" s="65">
        <v>0</v>
      </c>
      <c r="R159" s="65">
        <v>0</v>
      </c>
      <c r="S159" s="65">
        <v>0</v>
      </c>
      <c r="T159" s="54">
        <v>66000</v>
      </c>
      <c r="U159" s="46"/>
      <c r="V159" s="47"/>
      <c r="W159" s="48"/>
      <c r="X159" s="45">
        <v>1317565920</v>
      </c>
    </row>
    <row r="160" spans="1:24" ht="24.95" customHeight="1">
      <c r="A160" s="1">
        <v>9</v>
      </c>
      <c r="B160" s="24">
        <v>1315751920</v>
      </c>
      <c r="C160" s="25" t="str">
        <f t="shared" si="41"/>
        <v>920</v>
      </c>
      <c r="D160" s="25" t="str">
        <f t="shared" si="42"/>
        <v>315751</v>
      </c>
      <c r="E160" s="64" t="s">
        <v>178</v>
      </c>
      <c r="F160" s="65"/>
      <c r="G160" s="65"/>
      <c r="H160" s="65"/>
      <c r="I160" s="65"/>
      <c r="J160" s="65"/>
      <c r="K160" s="65"/>
      <c r="L160" s="65"/>
      <c r="M160" s="65"/>
      <c r="N160" s="65"/>
      <c r="O160" s="44"/>
      <c r="P160" s="65">
        <v>0</v>
      </c>
      <c r="Q160" s="65">
        <v>0</v>
      </c>
      <c r="R160" s="65">
        <v>0</v>
      </c>
      <c r="S160" s="65">
        <v>0</v>
      </c>
      <c r="T160" s="54">
        <v>1500000</v>
      </c>
      <c r="U160" s="46"/>
      <c r="V160" s="47"/>
      <c r="W160" s="48"/>
      <c r="X160" s="45">
        <v>1315171920</v>
      </c>
    </row>
    <row r="161" spans="1:24" ht="24.95" customHeight="1">
      <c r="A161" s="1">
        <v>9</v>
      </c>
      <c r="B161" s="24">
        <v>1315752920</v>
      </c>
      <c r="C161" s="25" t="str">
        <f t="shared" si="41"/>
        <v>920</v>
      </c>
      <c r="D161" s="25" t="str">
        <f t="shared" si="42"/>
        <v>315752</v>
      </c>
      <c r="E161" s="25" t="s">
        <v>179</v>
      </c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>
        <v>0</v>
      </c>
      <c r="Q161" s="26">
        <v>0</v>
      </c>
      <c r="R161" s="26">
        <v>0</v>
      </c>
      <c r="S161" s="26">
        <v>0</v>
      </c>
      <c r="T161" s="27">
        <v>71000</v>
      </c>
      <c r="U161" s="56"/>
      <c r="V161" s="57"/>
      <c r="W161" s="58"/>
      <c r="X161" s="45">
        <v>1317730920</v>
      </c>
    </row>
    <row r="162" spans="1:24" ht="24.95" customHeight="1">
      <c r="A162" s="1">
        <v>9</v>
      </c>
      <c r="B162" s="24">
        <v>1315753920</v>
      </c>
      <c r="C162" s="25" t="str">
        <f t="shared" si="41"/>
        <v>920</v>
      </c>
      <c r="D162" s="25" t="str">
        <f t="shared" si="42"/>
        <v>315753</v>
      </c>
      <c r="E162" s="25" t="s">
        <v>180</v>
      </c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>
        <v>0</v>
      </c>
      <c r="Q162" s="26">
        <v>0</v>
      </c>
      <c r="R162" s="26">
        <v>0</v>
      </c>
      <c r="S162" s="26">
        <v>0</v>
      </c>
      <c r="T162" s="27">
        <v>21000</v>
      </c>
      <c r="U162" s="56"/>
      <c r="V162" s="57"/>
      <c r="W162" s="58"/>
      <c r="X162" s="45">
        <v>1315130920</v>
      </c>
    </row>
    <row r="163" spans="1:24" ht="24.95" customHeight="1">
      <c r="A163" s="1">
        <v>9</v>
      </c>
      <c r="B163" s="24">
        <v>1315754920</v>
      </c>
      <c r="C163" s="25" t="str">
        <f t="shared" si="41"/>
        <v>920</v>
      </c>
      <c r="D163" s="25" t="str">
        <f t="shared" si="42"/>
        <v>315754</v>
      </c>
      <c r="E163" s="25" t="s">
        <v>181</v>
      </c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>
        <v>0</v>
      </c>
      <c r="Q163" s="26">
        <v>0</v>
      </c>
      <c r="R163" s="26">
        <v>0</v>
      </c>
      <c r="S163" s="26">
        <v>0</v>
      </c>
      <c r="T163" s="27">
        <v>177000</v>
      </c>
      <c r="U163" s="56"/>
      <c r="V163" s="57"/>
      <c r="W163" s="58"/>
      <c r="X163" s="45">
        <v>1317600920</v>
      </c>
    </row>
    <row r="164" spans="1:24" ht="24.95" customHeight="1">
      <c r="A164" s="1">
        <v>9</v>
      </c>
      <c r="B164" s="24">
        <v>1315755920</v>
      </c>
      <c r="C164" s="25" t="str">
        <f t="shared" si="41"/>
        <v>920</v>
      </c>
      <c r="D164" s="25" t="str">
        <f t="shared" si="42"/>
        <v>315755</v>
      </c>
      <c r="E164" s="25" t="s">
        <v>182</v>
      </c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>
        <v>0</v>
      </c>
      <c r="Q164" s="26">
        <v>0</v>
      </c>
      <c r="R164" s="26">
        <v>0</v>
      </c>
      <c r="S164" s="26">
        <v>0</v>
      </c>
      <c r="T164" s="27">
        <v>4500</v>
      </c>
      <c r="U164" s="56"/>
      <c r="V164" s="57"/>
      <c r="W164" s="58"/>
      <c r="X164" s="45">
        <v>1315140920</v>
      </c>
    </row>
    <row r="165" spans="1:24" ht="24.95" customHeight="1">
      <c r="A165" s="1">
        <v>9</v>
      </c>
      <c r="B165" s="24">
        <v>1315756920</v>
      </c>
      <c r="C165" s="25" t="str">
        <f t="shared" si="41"/>
        <v>920</v>
      </c>
      <c r="D165" s="25" t="str">
        <f t="shared" si="42"/>
        <v>315756</v>
      </c>
      <c r="E165" s="25" t="s">
        <v>183</v>
      </c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>
        <v>0</v>
      </c>
      <c r="Q165" s="26">
        <v>0</v>
      </c>
      <c r="R165" s="26">
        <v>0</v>
      </c>
      <c r="S165" s="26">
        <v>0</v>
      </c>
      <c r="T165" s="27">
        <v>176000</v>
      </c>
      <c r="U165" s="56"/>
      <c r="V165" s="57"/>
      <c r="W165" s="58"/>
      <c r="X165" s="45">
        <v>1317891920</v>
      </c>
    </row>
    <row r="166" spans="1:24" ht="24.95" customHeight="1">
      <c r="B166" s="28"/>
      <c r="C166" s="29"/>
      <c r="D166" s="29"/>
      <c r="E166" s="29" t="s">
        <v>184</v>
      </c>
      <c r="F166" s="30">
        <f t="shared" ref="F166:O166" si="50">SUM(F121:F134)</f>
        <v>7412000</v>
      </c>
      <c r="G166" s="30">
        <f t="shared" si="50"/>
        <v>6186597.2800000003</v>
      </c>
      <c r="H166" s="30">
        <f t="shared" si="50"/>
        <v>7423916.7359999996</v>
      </c>
      <c r="I166" s="30">
        <f t="shared" si="50"/>
        <v>7423916.7359999996</v>
      </c>
      <c r="J166" s="30" t="e">
        <f t="shared" si="50"/>
        <v>#REF!</v>
      </c>
      <c r="K166" s="30" t="e">
        <f t="shared" si="50"/>
        <v>#REF!</v>
      </c>
      <c r="L166" s="30">
        <f t="shared" si="50"/>
        <v>7562510</v>
      </c>
      <c r="M166" s="30">
        <f t="shared" si="50"/>
        <v>7962600</v>
      </c>
      <c r="N166" s="30">
        <f t="shared" si="50"/>
        <v>8955500</v>
      </c>
      <c r="O166" s="30" t="e">
        <f t="shared" si="50"/>
        <v>#N/A</v>
      </c>
      <c r="P166" s="30">
        <f t="shared" ref="P166:S166" si="51">SUM(P119:P165)</f>
        <v>4791000</v>
      </c>
      <c r="Q166" s="30">
        <f t="shared" si="51"/>
        <v>6022889.8200000003</v>
      </c>
      <c r="R166" s="30">
        <f t="shared" si="51"/>
        <v>7525000</v>
      </c>
      <c r="S166" s="30">
        <f t="shared" si="51"/>
        <v>7227467.784</v>
      </c>
      <c r="T166" s="31">
        <f>SUM(T119:T165)</f>
        <v>17701000</v>
      </c>
      <c r="U166" s="12">
        <f>IF(ISBLANK(B166),1,--OR(L166&gt;1,M166&gt;1,N166&gt;1))</f>
        <v>1</v>
      </c>
      <c r="V166" s="22">
        <f>+Q166-N166</f>
        <v>-2932610.1799999997</v>
      </c>
      <c r="W166" s="23">
        <f>P166-Q166</f>
        <v>-1231889.8200000003</v>
      </c>
      <c r="X166" s="43"/>
    </row>
    <row r="167" spans="1:24" ht="24.95" customHeight="1">
      <c r="A167" s="1">
        <v>9</v>
      </c>
      <c r="B167" s="24">
        <v>1317100920</v>
      </c>
      <c r="C167" s="25" t="str">
        <f t="shared" ref="C167:C224" si="52">MID(B167,8,3)</f>
        <v>920</v>
      </c>
      <c r="D167" s="25" t="str">
        <f t="shared" ref="D167:D224" si="53">MID(B167,2,6)</f>
        <v>317100</v>
      </c>
      <c r="E167" s="25" t="s">
        <v>185</v>
      </c>
      <c r="F167" s="26">
        <v>287000</v>
      </c>
      <c r="G167" s="26">
        <v>239367.16</v>
      </c>
      <c r="H167" s="26">
        <f>G167*12/10</f>
        <v>287240.592</v>
      </c>
      <c r="I167" s="26">
        <f>H167</f>
        <v>287240.592</v>
      </c>
      <c r="J167" s="26" t="e">
        <f>VLOOKUP(B167,#REF!,6,0)</f>
        <v>#REF!</v>
      </c>
      <c r="K167" s="26" t="e">
        <f>+J167*1.71428571428571</f>
        <v>#REF!</v>
      </c>
      <c r="L167" s="26">
        <v>290000</v>
      </c>
      <c r="M167" s="26">
        <v>290500</v>
      </c>
      <c r="N167" s="26">
        <v>290500</v>
      </c>
      <c r="O167" s="44" t="e">
        <f>VLOOKUP(B167,[3]כספי!$A$1:$E$324,5,0)</f>
        <v>#N/A</v>
      </c>
      <c r="P167" s="26">
        <f>VLOOKUP(B:B,'[3]תקבולים 2017'!B:R,15,0)</f>
        <v>50000</v>
      </c>
      <c r="Q167" s="26">
        <f>-VLOOKUP(B:B,'[3]דוח כספי 10.17 מעודכן'!A:D,4,0)</f>
        <v>408013.84</v>
      </c>
      <c r="R167" s="26">
        <f>VLOOKUP(B:B,'[3]תקבולים 2017'!B:T,17,0)</f>
        <v>50000</v>
      </c>
      <c r="S167" s="26">
        <f>Q167/10*12</f>
        <v>489616.60800000007</v>
      </c>
      <c r="T167" s="27">
        <v>51000</v>
      </c>
      <c r="U167" s="46">
        <f>IF(ISBLANK(B167),1,--OR(L167&gt;1,M167&gt;1,N167&gt;1))</f>
        <v>1</v>
      </c>
      <c r="V167" s="47">
        <f>+Q167-N167</f>
        <v>117513.84000000003</v>
      </c>
      <c r="W167" s="48">
        <f>P167-Q167</f>
        <v>-358013.84</v>
      </c>
      <c r="X167" s="45" t="s">
        <v>186</v>
      </c>
    </row>
    <row r="168" spans="1:24" ht="24.95" hidden="1" customHeight="1">
      <c r="A168" s="1">
        <v>9</v>
      </c>
      <c r="B168" s="24">
        <v>1317200920</v>
      </c>
      <c r="C168" s="25" t="str">
        <f t="shared" si="52"/>
        <v>920</v>
      </c>
      <c r="D168" s="25" t="str">
        <f t="shared" si="53"/>
        <v>317200</v>
      </c>
      <c r="E168" s="25" t="s">
        <v>187</v>
      </c>
      <c r="F168" s="26">
        <v>127000</v>
      </c>
      <c r="G168" s="26">
        <v>105052.12</v>
      </c>
      <c r="H168" s="26">
        <f>G168*12/10</f>
        <v>126062.54399999999</v>
      </c>
      <c r="I168" s="26">
        <f>H168</f>
        <v>126062.54399999999</v>
      </c>
      <c r="J168" s="26" t="e">
        <f>VLOOKUP(B168,#REF!,6,0)</f>
        <v>#REF!</v>
      </c>
      <c r="K168" s="26" t="e">
        <f>+J168*1.71428571428571</f>
        <v>#REF!</v>
      </c>
      <c r="L168" s="26">
        <v>126000</v>
      </c>
      <c r="M168" s="26">
        <v>128000</v>
      </c>
      <c r="N168" s="26">
        <v>128000</v>
      </c>
      <c r="O168" s="26" t="e">
        <f>VLOOKUP(B168,[3]כספי!$A$1:$E$324,5,0)</f>
        <v>#N/A</v>
      </c>
      <c r="P168" s="26">
        <f>VLOOKUP(B:B,'[3]תקבולים 2017'!B:R,15,0)</f>
        <v>0</v>
      </c>
      <c r="Q168" s="26">
        <f>-VLOOKUP(B:B,'[3]דוח כספי 10.17 מעודכן'!A:D,4,0)</f>
        <v>0</v>
      </c>
      <c r="R168" s="26">
        <f>VLOOKUP(B:B,'[3]תקבולים 2017'!B:T,17,0)</f>
        <v>0</v>
      </c>
      <c r="S168" s="26">
        <f>Q168/10*12</f>
        <v>0</v>
      </c>
      <c r="T168" s="27">
        <v>0</v>
      </c>
      <c r="U168" s="12">
        <f>IF(ISBLANK(B168),1,--OR(L168&gt;1,M168&gt;1,N168&gt;1))</f>
        <v>1</v>
      </c>
      <c r="V168" s="22">
        <f>+Q168-N168</f>
        <v>-128000</v>
      </c>
      <c r="W168" s="23">
        <f>P168-Q168</f>
        <v>0</v>
      </c>
      <c r="X168" s="45"/>
    </row>
    <row r="169" spans="1:24" ht="24.95" hidden="1" customHeight="1">
      <c r="A169" s="1">
        <v>9</v>
      </c>
      <c r="B169" s="24">
        <v>1317300920</v>
      </c>
      <c r="C169" s="25" t="str">
        <f t="shared" si="52"/>
        <v>920</v>
      </c>
      <c r="D169" s="25" t="str">
        <f t="shared" si="53"/>
        <v>317300</v>
      </c>
      <c r="E169" s="25" t="s">
        <v>188</v>
      </c>
      <c r="F169" s="26"/>
      <c r="G169" s="26"/>
      <c r="H169" s="26"/>
      <c r="I169" s="26"/>
      <c r="J169" s="26"/>
      <c r="K169" s="26"/>
      <c r="L169" s="26"/>
      <c r="M169" s="26"/>
      <c r="N169" s="26"/>
      <c r="O169" s="26">
        <f>VLOOKUP(B169,[3]כספי!$A$1:$E$324,5,0)</f>
        <v>202673.78</v>
      </c>
      <c r="P169" s="26">
        <f>VLOOKUP(B:B,'[3]תקבולים 2017'!B:R,15,0)</f>
        <v>0</v>
      </c>
      <c r="Q169" s="26">
        <f>-VLOOKUP(B:B,'[3]דוח כספי 10.17 מעודכן'!A:D,4,0)</f>
        <v>0</v>
      </c>
      <c r="R169" s="26">
        <f>VLOOKUP(B:B,'[3]תקבולים 2017'!B:T,17,0)</f>
        <v>0</v>
      </c>
      <c r="S169" s="26">
        <f>Q169/10*12</f>
        <v>0</v>
      </c>
      <c r="T169" s="27">
        <v>0</v>
      </c>
      <c r="U169" s="12"/>
      <c r="V169" s="22">
        <f>+Q169-N169</f>
        <v>0</v>
      </c>
      <c r="W169" s="23">
        <f>P169-Q169</f>
        <v>0</v>
      </c>
      <c r="X169" s="45"/>
    </row>
    <row r="170" spans="1:24" ht="24.95" customHeight="1">
      <c r="A170" s="1">
        <v>9</v>
      </c>
      <c r="B170" s="24">
        <v>1317310920</v>
      </c>
      <c r="C170" s="25" t="str">
        <f t="shared" si="52"/>
        <v>920</v>
      </c>
      <c r="D170" s="25" t="str">
        <f t="shared" si="53"/>
        <v>317310</v>
      </c>
      <c r="E170" s="25" t="s">
        <v>189</v>
      </c>
      <c r="F170" s="26"/>
      <c r="G170" s="26"/>
      <c r="H170" s="26"/>
      <c r="I170" s="26"/>
      <c r="J170" s="26"/>
      <c r="K170" s="26"/>
      <c r="L170" s="26"/>
      <c r="M170" s="26"/>
      <c r="N170" s="26"/>
      <c r="O170" s="44"/>
      <c r="P170" s="26">
        <v>0</v>
      </c>
      <c r="Q170" s="26">
        <v>0</v>
      </c>
      <c r="R170" s="26">
        <v>0</v>
      </c>
      <c r="S170" s="26">
        <v>0</v>
      </c>
      <c r="T170" s="27">
        <v>455000</v>
      </c>
      <c r="U170" s="46"/>
      <c r="V170" s="47"/>
      <c r="W170" s="48"/>
      <c r="X170" s="45">
        <v>1314000920</v>
      </c>
    </row>
    <row r="171" spans="1:24" ht="24.95" customHeight="1">
      <c r="A171" s="1">
        <v>9</v>
      </c>
      <c r="B171" s="24">
        <v>1317320920</v>
      </c>
      <c r="C171" s="25" t="str">
        <f t="shared" si="52"/>
        <v>920</v>
      </c>
      <c r="D171" s="25" t="str">
        <f t="shared" si="53"/>
        <v>317320</v>
      </c>
      <c r="E171" s="25" t="s">
        <v>190</v>
      </c>
      <c r="F171" s="26"/>
      <c r="G171" s="26"/>
      <c r="H171" s="26"/>
      <c r="I171" s="26"/>
      <c r="J171" s="26"/>
      <c r="K171" s="26"/>
      <c r="L171" s="26"/>
      <c r="M171" s="26"/>
      <c r="N171" s="26"/>
      <c r="O171" s="44"/>
      <c r="P171" s="26">
        <v>0</v>
      </c>
      <c r="Q171" s="26">
        <v>0</v>
      </c>
      <c r="R171" s="26">
        <v>0</v>
      </c>
      <c r="S171" s="26">
        <v>0</v>
      </c>
      <c r="T171" s="27">
        <v>211000</v>
      </c>
      <c r="U171" s="46"/>
      <c r="V171" s="47"/>
      <c r="W171" s="48"/>
      <c r="X171" s="45">
        <v>1314000920</v>
      </c>
    </row>
    <row r="172" spans="1:24" ht="24.95" customHeight="1">
      <c r="A172" s="1">
        <v>9</v>
      </c>
      <c r="B172" s="24">
        <v>1317400920</v>
      </c>
      <c r="C172" s="25" t="str">
        <f t="shared" si="52"/>
        <v>920</v>
      </c>
      <c r="D172" s="25" t="str">
        <f t="shared" si="53"/>
        <v>317400</v>
      </c>
      <c r="E172" s="25" t="s">
        <v>191</v>
      </c>
      <c r="F172" s="26">
        <v>121000</v>
      </c>
      <c r="G172" s="26">
        <v>535505.31999999995</v>
      </c>
      <c r="H172" s="26">
        <f>G172*12/10</f>
        <v>642606.38399999996</v>
      </c>
      <c r="I172" s="26">
        <v>600000</v>
      </c>
      <c r="J172" s="26" t="e">
        <f>VLOOKUP(B172,#REF!,6,0)</f>
        <v>#REF!</v>
      </c>
      <c r="K172" s="26" t="e">
        <f>+J172*1.71428571428571</f>
        <v>#REF!</v>
      </c>
      <c r="L172" s="26">
        <v>600000</v>
      </c>
      <c r="M172" s="26">
        <v>470000</v>
      </c>
      <c r="N172" s="26">
        <v>500000</v>
      </c>
      <c r="O172" s="26" t="e">
        <f>VLOOKUP(B172,[3]כספי!$A$1:$E$324,5,0)</f>
        <v>#N/A</v>
      </c>
      <c r="P172" s="26">
        <f>VLOOKUP(B:B,'[3]תקבולים 2017'!B:R,15,0)</f>
        <v>113000</v>
      </c>
      <c r="Q172" s="26">
        <f>-VLOOKUP(B:B,'[3]דוח כספי 10.17 מעודכן'!A:D,4,0)</f>
        <v>29564.38</v>
      </c>
      <c r="R172" s="26">
        <f>VLOOKUP(B:B,'[3]תקבולים 2017'!B:T,17,0)</f>
        <v>36000</v>
      </c>
      <c r="S172" s="26">
        <f t="shared" ref="S172:S193" si="54">Q172/10*12</f>
        <v>35477.256000000001</v>
      </c>
      <c r="T172" s="27">
        <v>36000</v>
      </c>
      <c r="U172" s="12">
        <f>IF(ISBLANK(B172),1,--OR(L172&gt;1,M172&gt;1,N172&gt;1))</f>
        <v>1</v>
      </c>
      <c r="V172" s="22">
        <f>+Q172-N172</f>
        <v>-470435.62</v>
      </c>
      <c r="W172" s="23">
        <f t="shared" ref="W172:W193" si="55">P172-Q172</f>
        <v>83435.62</v>
      </c>
      <c r="X172" s="45"/>
    </row>
    <row r="173" spans="1:24" ht="24.95" hidden="1" customHeight="1">
      <c r="A173" s="1">
        <v>10</v>
      </c>
      <c r="B173" s="18">
        <v>1317500220</v>
      </c>
      <c r="C173" s="19" t="str">
        <f t="shared" si="52"/>
        <v>220</v>
      </c>
      <c r="D173" s="19" t="str">
        <f t="shared" si="53"/>
        <v>317500</v>
      </c>
      <c r="E173" s="19" t="s">
        <v>192</v>
      </c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>
        <f>VLOOKUP(B:B,'[3]תקבולים 2017'!B:R,15,0)</f>
        <v>0</v>
      </c>
      <c r="Q173" s="20">
        <f>-VLOOKUP(B:B,'[3]דוח כספי 10.17 מעודכן'!A:D,4,0)</f>
        <v>0</v>
      </c>
      <c r="R173" s="20">
        <f>VLOOKUP(B:B,'[3]תקבולים 2017'!B:T,17,0)</f>
        <v>0</v>
      </c>
      <c r="S173" s="20">
        <f t="shared" si="54"/>
        <v>0</v>
      </c>
      <c r="T173" s="21">
        <v>0</v>
      </c>
      <c r="U173" s="12"/>
      <c r="V173" s="22"/>
      <c r="W173" s="23">
        <f t="shared" si="55"/>
        <v>0</v>
      </c>
      <c r="X173" s="45"/>
    </row>
    <row r="174" spans="1:24" ht="24.95" customHeight="1">
      <c r="A174" s="1">
        <v>9</v>
      </c>
      <c r="B174" s="24">
        <v>1317500920</v>
      </c>
      <c r="C174" s="25" t="str">
        <f t="shared" si="52"/>
        <v>920</v>
      </c>
      <c r="D174" s="25" t="str">
        <f t="shared" si="53"/>
        <v>317500</v>
      </c>
      <c r="E174" s="25" t="s">
        <v>193</v>
      </c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>
        <f>VLOOKUP(B:B,'[3]תקבולים 2017'!B:R,15,0)</f>
        <v>1610000</v>
      </c>
      <c r="Q174" s="26">
        <f>-VLOOKUP(B:B,'[3]דוח כספי 10.17 מעודכן'!A:D,4,0)</f>
        <v>1383033.06</v>
      </c>
      <c r="R174" s="26">
        <f>VLOOKUP(B:B,'[3]תקבולים 2017'!B:T,17,0)</f>
        <v>1660000</v>
      </c>
      <c r="S174" s="26">
        <f t="shared" si="54"/>
        <v>1659639.6720000003</v>
      </c>
      <c r="T174" s="27">
        <v>0</v>
      </c>
      <c r="U174" s="61"/>
      <c r="V174" s="62"/>
      <c r="W174" s="63">
        <f t="shared" si="55"/>
        <v>226966.93999999994</v>
      </c>
      <c r="X174" s="45" t="s">
        <v>194</v>
      </c>
    </row>
    <row r="175" spans="1:24" ht="24.95" customHeight="1">
      <c r="A175" s="1">
        <v>9</v>
      </c>
      <c r="B175" s="24">
        <v>1317510920</v>
      </c>
      <c r="C175" s="25" t="str">
        <f t="shared" si="52"/>
        <v>920</v>
      </c>
      <c r="D175" s="25" t="str">
        <f t="shared" si="53"/>
        <v>317510</v>
      </c>
      <c r="E175" s="25" t="s">
        <v>153</v>
      </c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>
        <f>VLOOKUP(B:B,'[3]תקבולים 2017'!B:R,15,0)</f>
        <v>250000</v>
      </c>
      <c r="Q175" s="26">
        <f>-VLOOKUP(B:B,'[3]דוח כספי 10.17 מעודכן'!A:D,4,0)</f>
        <v>192273.34</v>
      </c>
      <c r="R175" s="26">
        <f>VLOOKUP(B:B,'[3]תקבולים 2017'!B:T,17,0)</f>
        <v>231000</v>
      </c>
      <c r="S175" s="26">
        <f t="shared" si="54"/>
        <v>230728.00799999997</v>
      </c>
      <c r="T175" s="27">
        <v>0</v>
      </c>
      <c r="U175" s="61"/>
      <c r="V175" s="62"/>
      <c r="W175" s="63">
        <f t="shared" si="55"/>
        <v>57726.66</v>
      </c>
      <c r="X175" s="45">
        <v>1315180920</v>
      </c>
    </row>
    <row r="176" spans="1:24" ht="24.95" hidden="1" customHeight="1">
      <c r="A176" s="1">
        <v>9</v>
      </c>
      <c r="B176" s="24">
        <v>1317520920</v>
      </c>
      <c r="C176" s="25" t="str">
        <f t="shared" si="52"/>
        <v>920</v>
      </c>
      <c r="D176" s="25" t="str">
        <f t="shared" si="53"/>
        <v>317520</v>
      </c>
      <c r="E176" s="25" t="s">
        <v>195</v>
      </c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>
        <f>VLOOKUP(B:B,'[3]תקבולים 2017'!B:R,15,0)</f>
        <v>0</v>
      </c>
      <c r="Q176" s="26">
        <f>-VLOOKUP(B:B,'[3]דוח כספי 10.17 מעודכן'!A:D,4,0)</f>
        <v>0</v>
      </c>
      <c r="R176" s="26">
        <f>VLOOKUP(B:B,'[3]תקבולים 2017'!B:T,17,0)</f>
        <v>0</v>
      </c>
      <c r="S176" s="26">
        <f t="shared" si="54"/>
        <v>0</v>
      </c>
      <c r="T176" s="27">
        <v>0</v>
      </c>
      <c r="U176" s="12"/>
      <c r="V176" s="22"/>
      <c r="W176" s="23">
        <f t="shared" si="55"/>
        <v>0</v>
      </c>
      <c r="X176" s="45"/>
    </row>
    <row r="177" spans="1:24" ht="24.95" customHeight="1">
      <c r="A177" s="1">
        <v>9</v>
      </c>
      <c r="B177" s="24">
        <v>1317530920</v>
      </c>
      <c r="C177" s="25" t="str">
        <f t="shared" si="52"/>
        <v>920</v>
      </c>
      <c r="D177" s="25" t="str">
        <f t="shared" si="53"/>
        <v>317530</v>
      </c>
      <c r="E177" s="25" t="s">
        <v>196</v>
      </c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>
        <f>VLOOKUP(B:B,'[3]תקבולים 2017'!B:R,15,0)</f>
        <v>583000</v>
      </c>
      <c r="Q177" s="26">
        <f>-VLOOKUP(B:B,'[3]דוח כספי 10.17 מעודכן'!A:D,4,0)</f>
        <v>475235.83</v>
      </c>
      <c r="R177" s="26">
        <f>VLOOKUP(B:B,'[3]תקבולים 2017'!B:T,17,0)</f>
        <v>570000</v>
      </c>
      <c r="S177" s="26">
        <f t="shared" si="54"/>
        <v>570282.99600000004</v>
      </c>
      <c r="T177" s="27">
        <v>0</v>
      </c>
      <c r="U177" s="61"/>
      <c r="V177" s="62"/>
      <c r="W177" s="63">
        <f t="shared" si="55"/>
        <v>107764.16999999998</v>
      </c>
      <c r="X177" s="45">
        <v>1315722920</v>
      </c>
    </row>
    <row r="178" spans="1:24" ht="24.95" customHeight="1">
      <c r="A178" s="1">
        <v>9</v>
      </c>
      <c r="B178" s="24">
        <v>1317561920</v>
      </c>
      <c r="C178" s="25" t="str">
        <f t="shared" si="52"/>
        <v>920</v>
      </c>
      <c r="D178" s="25" t="str">
        <f t="shared" si="53"/>
        <v>317561</v>
      </c>
      <c r="E178" s="25" t="s">
        <v>163</v>
      </c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>
        <f>VLOOKUP(B:B,'[3]תקבולים 2017'!B:R,15,0)</f>
        <v>181000</v>
      </c>
      <c r="Q178" s="26">
        <f>-VLOOKUP(B:B,'[3]דוח כספי 10.17 מעודכן'!A:D,4,0)</f>
        <v>145635.66</v>
      </c>
      <c r="R178" s="26">
        <f>VLOOKUP(B:B,'[3]תקבולים 2017'!B:T,17,0)</f>
        <v>175000</v>
      </c>
      <c r="S178" s="26">
        <f t="shared" si="54"/>
        <v>174762.79200000002</v>
      </c>
      <c r="T178" s="27">
        <v>0</v>
      </c>
      <c r="U178" s="61"/>
      <c r="V178" s="62"/>
      <c r="W178" s="63">
        <f t="shared" si="55"/>
        <v>35364.339999999997</v>
      </c>
      <c r="X178" s="45">
        <v>1315721920</v>
      </c>
    </row>
    <row r="179" spans="1:24" ht="24.95" customHeight="1">
      <c r="A179" s="1">
        <v>9</v>
      </c>
      <c r="B179" s="24">
        <v>1317565920</v>
      </c>
      <c r="C179" s="25" t="str">
        <f t="shared" si="52"/>
        <v>920</v>
      </c>
      <c r="D179" s="25" t="str">
        <f t="shared" si="53"/>
        <v>317565</v>
      </c>
      <c r="E179" s="25" t="s">
        <v>177</v>
      </c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>
        <f>VLOOKUP(B:B,'[3]תקבולים 2017'!B:R,15,0)</f>
        <v>30000</v>
      </c>
      <c r="Q179" s="26">
        <f>-VLOOKUP(B:B,'[3]דוח כספי 10.17 מעודכן'!A:D,4,0)</f>
        <v>55011.77</v>
      </c>
      <c r="R179" s="26">
        <f>VLOOKUP(B:B,'[3]תקבולים 2017'!B:T,17,0)</f>
        <v>66000</v>
      </c>
      <c r="S179" s="26">
        <f t="shared" si="54"/>
        <v>66014.123999999996</v>
      </c>
      <c r="T179" s="27">
        <v>0</v>
      </c>
      <c r="U179" s="61"/>
      <c r="V179" s="62"/>
      <c r="W179" s="63">
        <f t="shared" si="55"/>
        <v>-25011.769999999997</v>
      </c>
      <c r="X179" s="45">
        <v>1315750920</v>
      </c>
    </row>
    <row r="180" spans="1:24" ht="24.95" customHeight="1">
      <c r="A180" s="1">
        <v>9</v>
      </c>
      <c r="B180" s="24">
        <v>1317566920</v>
      </c>
      <c r="C180" s="25" t="str">
        <f t="shared" si="52"/>
        <v>920</v>
      </c>
      <c r="D180" s="25" t="str">
        <f t="shared" si="53"/>
        <v>317566</v>
      </c>
      <c r="E180" s="25" t="s">
        <v>107</v>
      </c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>
        <f>VLOOKUP(B:B,'[3]תקבולים 2017'!B:R,15,0)</f>
        <v>0</v>
      </c>
      <c r="Q180" s="26">
        <f>-VLOOKUP(B:B,'[3]דוח כספי 10.17 מעודכן'!A:D,4,0)</f>
        <v>26385.279999999999</v>
      </c>
      <c r="R180" s="26">
        <f>VLOOKUP(B:B,'[3]תקבולים 2017'!B:T,17,0)</f>
        <v>32000</v>
      </c>
      <c r="S180" s="26">
        <f t="shared" si="54"/>
        <v>31662.335999999996</v>
      </c>
      <c r="T180" s="27">
        <v>0</v>
      </c>
      <c r="U180" s="61"/>
      <c r="V180" s="62"/>
      <c r="W180" s="63">
        <f t="shared" si="55"/>
        <v>-26385.279999999999</v>
      </c>
      <c r="X180" s="45">
        <v>1313280920</v>
      </c>
    </row>
    <row r="181" spans="1:24" ht="24.95" customHeight="1">
      <c r="A181" s="1">
        <v>9</v>
      </c>
      <c r="B181" s="24">
        <v>1317567920</v>
      </c>
      <c r="C181" s="25" t="str">
        <f t="shared" si="52"/>
        <v>920</v>
      </c>
      <c r="D181" s="25" t="str">
        <f t="shared" si="53"/>
        <v>317567</v>
      </c>
      <c r="E181" s="25" t="s">
        <v>158</v>
      </c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>
        <f>VLOOKUP(B:B,'[3]תקבולים 2017'!B:R,15,0)</f>
        <v>8000</v>
      </c>
      <c r="Q181" s="26">
        <f>-VLOOKUP(B:B,'[3]דוח כספי 10.17 מעודכן'!A:D,4,0)</f>
        <v>51389.99</v>
      </c>
      <c r="R181" s="26">
        <f>VLOOKUP(B:B,'[3]תקבולים 2017'!B:T,17,0)</f>
        <v>62000</v>
      </c>
      <c r="S181" s="26">
        <f t="shared" si="54"/>
        <v>61667.987999999998</v>
      </c>
      <c r="T181" s="27">
        <v>0</v>
      </c>
      <c r="U181" s="61"/>
      <c r="V181" s="62"/>
      <c r="W181" s="63">
        <f t="shared" si="55"/>
        <v>-43389.99</v>
      </c>
      <c r="X181" s="45">
        <v>1315215920</v>
      </c>
    </row>
    <row r="182" spans="1:24" ht="24.95" customHeight="1">
      <c r="A182" s="1">
        <v>9</v>
      </c>
      <c r="B182" s="24">
        <v>1317568920</v>
      </c>
      <c r="C182" s="25" t="str">
        <f t="shared" si="52"/>
        <v>920</v>
      </c>
      <c r="D182" s="25" t="str">
        <f t="shared" si="53"/>
        <v>317568</v>
      </c>
      <c r="E182" s="25" t="s">
        <v>159</v>
      </c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>
        <f>VLOOKUP(B:B,'[3]תקבולים 2017'!B:R,15,0)</f>
        <v>1000</v>
      </c>
      <c r="Q182" s="26">
        <f>-VLOOKUP(B:B,'[3]דוח כספי 10.17 מעודכן'!A:D,4,0)</f>
        <v>2199.37</v>
      </c>
      <c r="R182" s="26">
        <f>VLOOKUP(B:B,'[3]תקבולים 2017'!B:T,17,0)</f>
        <v>3000</v>
      </c>
      <c r="S182" s="26">
        <f t="shared" si="54"/>
        <v>2639.2439999999997</v>
      </c>
      <c r="T182" s="27">
        <v>0</v>
      </c>
      <c r="U182" s="61"/>
      <c r="V182" s="62"/>
      <c r="W182" s="63">
        <f t="shared" si="55"/>
        <v>-1199.3699999999999</v>
      </c>
      <c r="X182" s="45">
        <v>1315216920</v>
      </c>
    </row>
    <row r="183" spans="1:24" ht="24.95" customHeight="1">
      <c r="A183" s="1">
        <v>9</v>
      </c>
      <c r="B183" s="24">
        <v>1317569920</v>
      </c>
      <c r="C183" s="25" t="str">
        <f t="shared" si="52"/>
        <v>920</v>
      </c>
      <c r="D183" s="25" t="str">
        <f t="shared" si="53"/>
        <v>317569</v>
      </c>
      <c r="E183" s="25" t="s">
        <v>87</v>
      </c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>
        <f>VLOOKUP(B:B,'[3]תקבולים 2017'!B:R,15,0)</f>
        <v>0</v>
      </c>
      <c r="Q183" s="26">
        <f>-VLOOKUP(B:B,'[3]דוח כספי 10.17 מעודכן'!A:D,4,0)</f>
        <v>159180.72</v>
      </c>
      <c r="R183" s="26">
        <f>VLOOKUP(B:B,'[3]תקבולים 2017'!B:T,17,0)</f>
        <v>191000</v>
      </c>
      <c r="S183" s="26">
        <f t="shared" si="54"/>
        <v>191016.864</v>
      </c>
      <c r="T183" s="27">
        <v>0</v>
      </c>
      <c r="U183" s="61"/>
      <c r="V183" s="62"/>
      <c r="W183" s="63">
        <f t="shared" si="55"/>
        <v>-159180.72</v>
      </c>
      <c r="X183" s="45">
        <v>1311200920</v>
      </c>
    </row>
    <row r="184" spans="1:24" ht="24.95" customHeight="1">
      <c r="A184" s="1">
        <v>9</v>
      </c>
      <c r="B184" s="24">
        <v>1317600920</v>
      </c>
      <c r="C184" s="25" t="str">
        <f t="shared" si="52"/>
        <v>920</v>
      </c>
      <c r="D184" s="25" t="str">
        <f t="shared" si="53"/>
        <v>317600</v>
      </c>
      <c r="E184" s="25" t="s">
        <v>197</v>
      </c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>
        <f>VLOOKUP(B:B,'[3]תקבולים 2017'!B:R,15,0)</f>
        <v>152000</v>
      </c>
      <c r="Q184" s="26">
        <f>-VLOOKUP(B:B,'[3]דוח כספי 10.17 מעודכן'!A:D,4,0)</f>
        <v>146788.28</v>
      </c>
      <c r="R184" s="26">
        <f>VLOOKUP(B:B,'[3]תקבולים 2017'!B:T,17,0)</f>
        <v>176000</v>
      </c>
      <c r="S184" s="26">
        <f t="shared" si="54"/>
        <v>176145.93599999999</v>
      </c>
      <c r="T184" s="27">
        <v>0</v>
      </c>
      <c r="U184" s="61"/>
      <c r="V184" s="62"/>
      <c r="W184" s="63">
        <f t="shared" si="55"/>
        <v>5211.7200000000012</v>
      </c>
      <c r="X184" s="45">
        <v>1315754920</v>
      </c>
    </row>
    <row r="185" spans="1:24" ht="24.95" hidden="1" customHeight="1">
      <c r="A185" s="1">
        <v>9</v>
      </c>
      <c r="B185" s="24">
        <v>1317610920</v>
      </c>
      <c r="C185" s="25" t="str">
        <f t="shared" si="52"/>
        <v>920</v>
      </c>
      <c r="D185" s="25" t="str">
        <f t="shared" si="53"/>
        <v>317610</v>
      </c>
      <c r="E185" s="25" t="s">
        <v>198</v>
      </c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>
        <f>VLOOKUP(B:B,'[3]תקבולים 2017'!B:R,15,0)</f>
        <v>0</v>
      </c>
      <c r="Q185" s="26">
        <f>-VLOOKUP(B:B,'[3]דוח כספי 10.17 מעודכן'!A:D,4,0)</f>
        <v>0</v>
      </c>
      <c r="R185" s="26">
        <f>VLOOKUP(B:B,'[3]תקבולים 2017'!B:T,17,0)</f>
        <v>0</v>
      </c>
      <c r="S185" s="26">
        <f t="shared" si="54"/>
        <v>0</v>
      </c>
      <c r="T185" s="27">
        <v>0</v>
      </c>
      <c r="U185" s="12"/>
      <c r="V185" s="22"/>
      <c r="W185" s="23">
        <f t="shared" si="55"/>
        <v>0</v>
      </c>
      <c r="X185" s="45"/>
    </row>
    <row r="186" spans="1:24" ht="24.95" hidden="1" customHeight="1">
      <c r="A186" s="1">
        <v>9</v>
      </c>
      <c r="B186" s="18">
        <v>1317620920</v>
      </c>
      <c r="C186" s="19" t="str">
        <f t="shared" si="52"/>
        <v>920</v>
      </c>
      <c r="D186" s="19" t="str">
        <f t="shared" si="53"/>
        <v>317620</v>
      </c>
      <c r="E186" s="19" t="s">
        <v>199</v>
      </c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>
        <f>VLOOKUP(B:B,'[3]תקבולים 2017'!B:R,15,0)</f>
        <v>0</v>
      </c>
      <c r="Q186" s="20">
        <f>-VLOOKUP(B:B,'[3]דוח כספי 10.17 מעודכן'!A:D,4,0)</f>
        <v>-1000</v>
      </c>
      <c r="R186" s="20">
        <f>VLOOKUP(B:B,'[3]תקבולים 2017'!B:T,17,0)</f>
        <v>0</v>
      </c>
      <c r="S186" s="20">
        <f t="shared" si="54"/>
        <v>-1200</v>
      </c>
      <c r="T186" s="21">
        <v>0</v>
      </c>
      <c r="U186" s="12"/>
      <c r="V186" s="22"/>
      <c r="W186" s="23">
        <f t="shared" si="55"/>
        <v>1000</v>
      </c>
      <c r="X186" s="45"/>
    </row>
    <row r="187" spans="1:24" ht="24.95" customHeight="1">
      <c r="A187" s="1">
        <v>9</v>
      </c>
      <c r="B187" s="24">
        <v>1317700920</v>
      </c>
      <c r="C187" s="25" t="str">
        <f t="shared" si="52"/>
        <v>920</v>
      </c>
      <c r="D187" s="25" t="str">
        <f t="shared" si="53"/>
        <v>317700</v>
      </c>
      <c r="E187" s="25" t="s">
        <v>200</v>
      </c>
      <c r="F187" s="26"/>
      <c r="G187" s="26"/>
      <c r="H187" s="26"/>
      <c r="I187" s="26"/>
      <c r="J187" s="26"/>
      <c r="K187" s="26"/>
      <c r="L187" s="26"/>
      <c r="M187" s="26"/>
      <c r="N187" s="26"/>
      <c r="O187" s="44"/>
      <c r="P187" s="26">
        <f>VLOOKUP(B:B,'[3]תקבולים 2017'!B:R,15,0)</f>
        <v>203000</v>
      </c>
      <c r="Q187" s="26">
        <f>-VLOOKUP(B:B,'[3]דוח כספי 10.17 מעודכן'!A:D,4,0)</f>
        <v>123851.25</v>
      </c>
      <c r="R187" s="26">
        <f>VLOOKUP(B:B,'[3]תקבולים 2017'!B:T,17,0)</f>
        <v>149000</v>
      </c>
      <c r="S187" s="26">
        <f t="shared" si="54"/>
        <v>148621.5</v>
      </c>
      <c r="T187" s="27">
        <v>150000</v>
      </c>
      <c r="U187" s="46"/>
      <c r="V187" s="47"/>
      <c r="W187" s="48">
        <f t="shared" si="55"/>
        <v>79148.75</v>
      </c>
      <c r="X187" s="45" t="s">
        <v>186</v>
      </c>
    </row>
    <row r="188" spans="1:24" ht="24.95" customHeight="1">
      <c r="A188" s="1">
        <v>9</v>
      </c>
      <c r="B188" s="24">
        <v>1317710920</v>
      </c>
      <c r="C188" s="25" t="str">
        <f t="shared" si="52"/>
        <v>920</v>
      </c>
      <c r="D188" s="25" t="str">
        <f t="shared" si="53"/>
        <v>317710</v>
      </c>
      <c r="E188" s="25" t="s">
        <v>201</v>
      </c>
      <c r="F188" s="26"/>
      <c r="G188" s="26"/>
      <c r="H188" s="26"/>
      <c r="I188" s="26"/>
      <c r="J188" s="26"/>
      <c r="K188" s="26"/>
      <c r="L188" s="26"/>
      <c r="M188" s="26"/>
      <c r="N188" s="26"/>
      <c r="O188" s="44"/>
      <c r="P188" s="26">
        <f>VLOOKUP(B:B,'[3]תקבולים 2017'!B:R,15,0)</f>
        <v>55000</v>
      </c>
      <c r="Q188" s="26">
        <f>-VLOOKUP(B:B,'[3]דוח כספי 10.17 מעודכן'!A:D,4,0)</f>
        <v>3943.02</v>
      </c>
      <c r="R188" s="26">
        <f>VLOOKUP(B:B,'[3]תקבולים 2017'!B:T,17,0)</f>
        <v>13000</v>
      </c>
      <c r="S188" s="26">
        <f t="shared" si="54"/>
        <v>4731.6239999999998</v>
      </c>
      <c r="T188" s="27">
        <v>13000</v>
      </c>
      <c r="U188" s="46"/>
      <c r="V188" s="47"/>
      <c r="W188" s="48">
        <f t="shared" si="55"/>
        <v>51056.98</v>
      </c>
      <c r="X188" s="45" t="s">
        <v>186</v>
      </c>
    </row>
    <row r="189" spans="1:24" s="39" customFormat="1" ht="24.95" customHeight="1">
      <c r="A189" s="39">
        <v>9</v>
      </c>
      <c r="B189" s="24">
        <v>1317720920</v>
      </c>
      <c r="C189" s="25" t="str">
        <f t="shared" si="52"/>
        <v>920</v>
      </c>
      <c r="D189" s="25" t="str">
        <f t="shared" si="53"/>
        <v>317720</v>
      </c>
      <c r="E189" s="25" t="s">
        <v>136</v>
      </c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>
        <f>VLOOKUP(B:B,'[3]תקבולים 2017'!B:R,15,0)</f>
        <v>28000</v>
      </c>
      <c r="Q189" s="26">
        <f>-VLOOKUP(B:B,'[3]דוח כספי 10.17 מעודכן'!A:D,4,0)</f>
        <v>25645.46</v>
      </c>
      <c r="R189" s="26">
        <f>VLOOKUP(B:B,'[3]תקבולים 2017'!B:T,17,0)</f>
        <v>31000</v>
      </c>
      <c r="S189" s="26">
        <f t="shared" si="54"/>
        <v>30774.551999999996</v>
      </c>
      <c r="T189" s="27">
        <v>0</v>
      </c>
      <c r="U189" s="40"/>
      <c r="V189" s="41"/>
      <c r="W189" s="42">
        <f t="shared" si="55"/>
        <v>2354.5400000000009</v>
      </c>
      <c r="X189" s="45">
        <v>1315000920</v>
      </c>
    </row>
    <row r="190" spans="1:24" s="39" customFormat="1" ht="24.95" customHeight="1">
      <c r="A190" s="39">
        <v>9</v>
      </c>
      <c r="B190" s="24">
        <v>1317730920</v>
      </c>
      <c r="C190" s="25" t="str">
        <f t="shared" si="52"/>
        <v>920</v>
      </c>
      <c r="D190" s="25" t="str">
        <f t="shared" si="53"/>
        <v>317730</v>
      </c>
      <c r="E190" s="25" t="s">
        <v>202</v>
      </c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>
        <f>VLOOKUP(B:B,'[3]תקבולים 2017'!B:R,15,0)</f>
        <v>60000</v>
      </c>
      <c r="Q190" s="26">
        <f>-VLOOKUP(B:B,'[3]דוח כספי 10.17 מעודכן'!A:D,4,0)</f>
        <v>64134.87</v>
      </c>
      <c r="R190" s="26">
        <f>VLOOKUP(B:B,'[3]תקבולים 2017'!B:T,17,0)</f>
        <v>77000</v>
      </c>
      <c r="S190" s="26">
        <f t="shared" si="54"/>
        <v>76961.843999999997</v>
      </c>
      <c r="T190" s="27">
        <v>0</v>
      </c>
      <c r="U190" s="40"/>
      <c r="V190" s="41"/>
      <c r="W190" s="42">
        <f t="shared" si="55"/>
        <v>-4134.8700000000026</v>
      </c>
      <c r="X190" s="45">
        <v>1315752920</v>
      </c>
    </row>
    <row r="191" spans="1:24" s="39" customFormat="1" ht="24.95" customHeight="1">
      <c r="A191" s="39">
        <v>9</v>
      </c>
      <c r="B191" s="24">
        <v>1317740920</v>
      </c>
      <c r="C191" s="25" t="str">
        <f t="shared" si="52"/>
        <v>920</v>
      </c>
      <c r="D191" s="25" t="str">
        <f t="shared" si="53"/>
        <v>317740</v>
      </c>
      <c r="E191" s="25" t="s">
        <v>170</v>
      </c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>
        <f>VLOOKUP(B:B,'[3]תקבולים 2017'!B:R,15,0)</f>
        <v>9000</v>
      </c>
      <c r="Q191" s="26">
        <f>-VLOOKUP(B:B,'[3]דוח כספי 10.17 מעודכן'!A:D,4,0)</f>
        <v>6272.92</v>
      </c>
      <c r="R191" s="26">
        <f>VLOOKUP(B:B,'[3]תקבולים 2017'!B:T,17,0)</f>
        <v>8000</v>
      </c>
      <c r="S191" s="26">
        <f t="shared" si="54"/>
        <v>7527.5040000000008</v>
      </c>
      <c r="T191" s="27">
        <v>0</v>
      </c>
      <c r="U191" s="40"/>
      <c r="V191" s="41"/>
      <c r="W191" s="42">
        <f t="shared" si="55"/>
        <v>2727.08</v>
      </c>
      <c r="X191" s="45">
        <v>1315730920</v>
      </c>
    </row>
    <row r="192" spans="1:24" s="39" customFormat="1" ht="24.95" customHeight="1">
      <c r="A192" s="39">
        <v>9</v>
      </c>
      <c r="B192" s="24">
        <v>1317750920</v>
      </c>
      <c r="C192" s="25" t="str">
        <f t="shared" si="52"/>
        <v>920</v>
      </c>
      <c r="D192" s="25" t="str">
        <f t="shared" si="53"/>
        <v>317750</v>
      </c>
      <c r="E192" s="25" t="s">
        <v>173</v>
      </c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>
        <f>VLOOKUP(B:B,'[3]תקבולים 2017'!B:R,15,0)</f>
        <v>57000</v>
      </c>
      <c r="Q192" s="26">
        <f>-VLOOKUP(B:B,'[3]דוח כספי 10.17 מעודכן'!A:D,4,0)</f>
        <v>108802.81</v>
      </c>
      <c r="R192" s="26">
        <f>VLOOKUP(B:B,'[3]תקבולים 2017'!B:T,17,0)</f>
        <v>131000</v>
      </c>
      <c r="S192" s="26">
        <f t="shared" si="54"/>
        <v>130563.37199999999</v>
      </c>
      <c r="T192" s="27">
        <v>0</v>
      </c>
      <c r="U192" s="40"/>
      <c r="V192" s="41"/>
      <c r="W192" s="42">
        <f t="shared" si="55"/>
        <v>-51802.81</v>
      </c>
      <c r="X192" s="45">
        <v>1315734920</v>
      </c>
    </row>
    <row r="193" spans="1:24" s="39" customFormat="1" ht="24.95" customHeight="1">
      <c r="A193" s="39">
        <v>9</v>
      </c>
      <c r="B193" s="24">
        <v>1317800920</v>
      </c>
      <c r="C193" s="25" t="str">
        <f t="shared" si="52"/>
        <v>920</v>
      </c>
      <c r="D193" s="25" t="str">
        <f t="shared" si="53"/>
        <v>317800</v>
      </c>
      <c r="E193" s="25" t="s">
        <v>203</v>
      </c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>
        <f>VLOOKUP(B:B,'[3]תקבולים 2017'!B:R,15,0)</f>
        <v>60000</v>
      </c>
      <c r="Q193" s="26">
        <f>-VLOOKUP(B:B,'[3]דוח כספי 10.17 מעודכן'!A:D,4,0)</f>
        <v>69540.72</v>
      </c>
      <c r="R193" s="26">
        <f>VLOOKUP(B:B,'[3]תקבולים 2017'!B:T,17,0)</f>
        <v>84000</v>
      </c>
      <c r="S193" s="26">
        <f t="shared" si="54"/>
        <v>83448.864000000001</v>
      </c>
      <c r="T193" s="27"/>
      <c r="U193" s="40"/>
      <c r="V193" s="41"/>
      <c r="W193" s="42">
        <f t="shared" si="55"/>
        <v>-9540.7200000000012</v>
      </c>
      <c r="X193" s="45">
        <v>1315725920</v>
      </c>
    </row>
    <row r="194" spans="1:24" s="39" customFormat="1" ht="24.95" customHeight="1">
      <c r="A194" s="39">
        <v>9</v>
      </c>
      <c r="B194" s="24">
        <v>1317801920</v>
      </c>
      <c r="C194" s="25" t="str">
        <f t="shared" si="52"/>
        <v>920</v>
      </c>
      <c r="D194" s="25" t="str">
        <f t="shared" si="53"/>
        <v>317801</v>
      </c>
      <c r="E194" s="26" t="s">
        <v>203</v>
      </c>
      <c r="F194" s="26"/>
      <c r="G194" s="26"/>
      <c r="H194" s="26"/>
      <c r="I194" s="26"/>
      <c r="J194" s="26"/>
      <c r="K194" s="26"/>
      <c r="L194" s="26"/>
      <c r="M194" s="26"/>
      <c r="N194" s="26"/>
      <c r="O194" s="44"/>
      <c r="P194" s="26">
        <v>0</v>
      </c>
      <c r="Q194" s="26">
        <v>0</v>
      </c>
      <c r="R194" s="26">
        <v>0</v>
      </c>
      <c r="S194" s="26">
        <v>0</v>
      </c>
      <c r="T194" s="27">
        <v>84000</v>
      </c>
      <c r="U194" s="40"/>
      <c r="W194" s="42"/>
      <c r="X194" s="45">
        <v>1315110920</v>
      </c>
    </row>
    <row r="195" spans="1:24" s="39" customFormat="1" ht="24.95" customHeight="1">
      <c r="A195" s="39">
        <v>9</v>
      </c>
      <c r="B195" s="24">
        <v>1317802920</v>
      </c>
      <c r="C195" s="25" t="str">
        <f t="shared" si="52"/>
        <v>920</v>
      </c>
      <c r="D195" s="25" t="str">
        <f t="shared" si="53"/>
        <v>317802</v>
      </c>
      <c r="E195" s="25" t="s">
        <v>204</v>
      </c>
      <c r="F195" s="26"/>
      <c r="G195" s="26"/>
      <c r="H195" s="26"/>
      <c r="I195" s="26"/>
      <c r="J195" s="26"/>
      <c r="K195" s="26"/>
      <c r="L195" s="26"/>
      <c r="M195" s="26"/>
      <c r="N195" s="26"/>
      <c r="O195" s="44"/>
      <c r="P195" s="26">
        <v>0</v>
      </c>
      <c r="Q195" s="26">
        <v>0</v>
      </c>
      <c r="R195" s="26">
        <v>0</v>
      </c>
      <c r="S195" s="26">
        <v>0</v>
      </c>
      <c r="T195" s="27">
        <v>1445000</v>
      </c>
      <c r="U195" s="40"/>
      <c r="W195" s="42"/>
      <c r="X195" s="45">
        <v>1315110920</v>
      </c>
    </row>
    <row r="196" spans="1:24" s="39" customFormat="1" ht="24.95" customHeight="1">
      <c r="A196" s="39">
        <v>9</v>
      </c>
      <c r="B196" s="24">
        <v>1317803920</v>
      </c>
      <c r="C196" s="25" t="str">
        <f t="shared" si="52"/>
        <v>920</v>
      </c>
      <c r="D196" s="25" t="str">
        <f t="shared" si="53"/>
        <v>317803</v>
      </c>
      <c r="E196" s="25" t="s">
        <v>205</v>
      </c>
      <c r="F196" s="26"/>
      <c r="G196" s="26"/>
      <c r="H196" s="26"/>
      <c r="I196" s="26"/>
      <c r="J196" s="26"/>
      <c r="K196" s="26"/>
      <c r="L196" s="26"/>
      <c r="M196" s="26"/>
      <c r="N196" s="26"/>
      <c r="O196" s="44"/>
      <c r="P196" s="26">
        <v>0</v>
      </c>
      <c r="Q196" s="26">
        <v>0</v>
      </c>
      <c r="R196" s="26">
        <v>0</v>
      </c>
      <c r="S196" s="26">
        <v>0</v>
      </c>
      <c r="T196" s="27">
        <v>70000</v>
      </c>
      <c r="U196" s="40"/>
      <c r="W196" s="42"/>
      <c r="X196" s="45">
        <v>1315110920</v>
      </c>
    </row>
    <row r="197" spans="1:24" ht="24.95" hidden="1" customHeight="1">
      <c r="A197" s="1">
        <v>9</v>
      </c>
      <c r="B197" s="24">
        <v>1317810920</v>
      </c>
      <c r="C197" s="25" t="str">
        <f t="shared" si="52"/>
        <v>920</v>
      </c>
      <c r="D197" s="25" t="str">
        <f t="shared" si="53"/>
        <v>317810</v>
      </c>
      <c r="E197" s="25" t="s">
        <v>206</v>
      </c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>
        <f>VLOOKUP(B:B,'[3]תקבולים 2017'!B:R,15,0)</f>
        <v>0</v>
      </c>
      <c r="Q197" s="26">
        <f>-VLOOKUP(B:B,'[3]דוח כספי 10.17 מעודכן'!A:D,4,0)</f>
        <v>0</v>
      </c>
      <c r="R197" s="26">
        <f>VLOOKUP(B:B,'[3]תקבולים 2017'!B:T,17,0)</f>
        <v>0</v>
      </c>
      <c r="S197" s="26">
        <f t="shared" ref="S197:S224" si="56">Q197/10*12</f>
        <v>0</v>
      </c>
      <c r="T197" s="27">
        <v>0</v>
      </c>
      <c r="U197" s="12"/>
      <c r="V197" s="22"/>
      <c r="W197" s="23">
        <f t="shared" ref="W197:W224" si="57">P197-Q197</f>
        <v>0</v>
      </c>
      <c r="X197" s="45"/>
    </row>
    <row r="198" spans="1:24" s="39" customFormat="1" ht="24.95" customHeight="1">
      <c r="A198" s="39">
        <v>9</v>
      </c>
      <c r="B198" s="24">
        <v>1317820920</v>
      </c>
      <c r="C198" s="25" t="str">
        <f t="shared" si="52"/>
        <v>920</v>
      </c>
      <c r="D198" s="25" t="str">
        <f t="shared" si="53"/>
        <v>317820</v>
      </c>
      <c r="E198" s="25" t="s">
        <v>104</v>
      </c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>
        <f>VLOOKUP(B:B,'[3]תקבולים 2017'!B:R,15,0)</f>
        <v>50000</v>
      </c>
      <c r="Q198" s="26">
        <f>-VLOOKUP(B:B,'[3]דוח כספי 10.17 מעודכן'!A:D,4,0)</f>
        <v>74300.78</v>
      </c>
      <c r="R198" s="26">
        <f>VLOOKUP(B:B,'[3]תקבולים 2017'!B:T,17,0)</f>
        <v>89000</v>
      </c>
      <c r="S198" s="26">
        <f t="shared" si="56"/>
        <v>89160.935999999987</v>
      </c>
      <c r="T198" s="27">
        <v>0</v>
      </c>
      <c r="U198" s="40"/>
      <c r="V198" s="41"/>
      <c r="W198" s="42">
        <f t="shared" si="57"/>
        <v>-24300.78</v>
      </c>
      <c r="X198" s="45">
        <v>1313291920</v>
      </c>
    </row>
    <row r="199" spans="1:24" s="39" customFormat="1" ht="24.95" customHeight="1">
      <c r="A199" s="39">
        <v>9</v>
      </c>
      <c r="B199" s="24">
        <v>1317830920</v>
      </c>
      <c r="C199" s="25" t="str">
        <f t="shared" si="52"/>
        <v>920</v>
      </c>
      <c r="D199" s="25" t="str">
        <f t="shared" si="53"/>
        <v>317830</v>
      </c>
      <c r="E199" s="25" t="s">
        <v>108</v>
      </c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>
        <f>VLOOKUP(B:B,'[3]תקבולים 2017'!B:R,15,0)</f>
        <v>160000</v>
      </c>
      <c r="Q199" s="26">
        <f>-VLOOKUP(B:B,'[3]דוח כספי 10.17 מעודכן'!A:D,4,0)</f>
        <v>200885.38</v>
      </c>
      <c r="R199" s="26">
        <f>VLOOKUP(B:B,'[3]תקבולים 2017'!B:T,17,0)</f>
        <v>241000</v>
      </c>
      <c r="S199" s="26">
        <f t="shared" si="56"/>
        <v>241062.45600000001</v>
      </c>
      <c r="T199" s="27">
        <v>0</v>
      </c>
      <c r="U199" s="40"/>
      <c r="V199" s="41"/>
      <c r="W199" s="42">
        <f t="shared" si="57"/>
        <v>-40885.380000000005</v>
      </c>
      <c r="X199" s="45">
        <v>1313290920</v>
      </c>
    </row>
    <row r="200" spans="1:24" s="39" customFormat="1" ht="24.95" hidden="1" customHeight="1">
      <c r="A200" s="39">
        <v>9</v>
      </c>
      <c r="B200" s="24">
        <v>1317831920</v>
      </c>
      <c r="C200" s="25" t="str">
        <f t="shared" si="52"/>
        <v>920</v>
      </c>
      <c r="D200" s="25" t="str">
        <f t="shared" si="53"/>
        <v>317831</v>
      </c>
      <c r="E200" s="25" t="s">
        <v>207</v>
      </c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>
        <f>VLOOKUP(B:B,'[3]תקבולים 2017'!B:R,15,0)</f>
        <v>0</v>
      </c>
      <c r="Q200" s="26">
        <f>-VLOOKUP(B:B,'[3]דוח כספי 10.17 מעודכן'!A:D,4,0)</f>
        <v>0</v>
      </c>
      <c r="R200" s="26">
        <f>VLOOKUP(B:B,'[3]תקבולים 2017'!B:T,17,0)</f>
        <v>0</v>
      </c>
      <c r="S200" s="26">
        <f t="shared" si="56"/>
        <v>0</v>
      </c>
      <c r="T200" s="27">
        <v>0</v>
      </c>
      <c r="U200" s="40"/>
      <c r="V200" s="41"/>
      <c r="W200" s="42">
        <f t="shared" si="57"/>
        <v>0</v>
      </c>
      <c r="X200" s="45"/>
    </row>
    <row r="201" spans="1:24" s="39" customFormat="1" ht="24.95" customHeight="1">
      <c r="A201" s="39">
        <v>9</v>
      </c>
      <c r="B201" s="24">
        <v>1317840920</v>
      </c>
      <c r="C201" s="25" t="str">
        <f t="shared" si="52"/>
        <v>920</v>
      </c>
      <c r="D201" s="25" t="str">
        <f t="shared" si="53"/>
        <v>317840</v>
      </c>
      <c r="E201" s="25" t="s">
        <v>208</v>
      </c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>
        <f>VLOOKUP(B:B,'[3]תקבולים 2017'!B:R,15,0)</f>
        <v>3480000</v>
      </c>
      <c r="Q201" s="26">
        <f>-VLOOKUP(B:B,'[3]דוח כספי 10.17 מעודכן'!A:D,4,0)</f>
        <v>3120034.8</v>
      </c>
      <c r="R201" s="26">
        <f>VLOOKUP(B:B,'[3]תקבולים 2017'!B:T,17,0)</f>
        <v>3744000</v>
      </c>
      <c r="S201" s="26">
        <f t="shared" si="56"/>
        <v>3744041.76</v>
      </c>
      <c r="T201" s="27">
        <v>0</v>
      </c>
      <c r="U201" s="40"/>
      <c r="V201" s="41"/>
      <c r="W201" s="42">
        <f t="shared" si="57"/>
        <v>359965.20000000019</v>
      </c>
      <c r="X201" s="45">
        <v>1312240920</v>
      </c>
    </row>
    <row r="202" spans="1:24" ht="24.95" customHeight="1">
      <c r="A202" s="1">
        <v>9</v>
      </c>
      <c r="B202" s="24">
        <v>1317841920</v>
      </c>
      <c r="C202" s="25" t="str">
        <f t="shared" si="52"/>
        <v>920</v>
      </c>
      <c r="D202" s="25" t="str">
        <f t="shared" si="53"/>
        <v>317841</v>
      </c>
      <c r="E202" s="25" t="s">
        <v>209</v>
      </c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>
        <f>VLOOKUP(B:B,'[3]תקבולים 2017'!B:R,15,0)</f>
        <v>1264000</v>
      </c>
      <c r="Q202" s="26">
        <f>-VLOOKUP(B:B,'[3]דוח כספי 10.17 מעודכן'!A:D,4,0)</f>
        <v>0</v>
      </c>
      <c r="R202" s="26">
        <f>VLOOKUP(B:B,'[3]תקבולים 2017'!B:T,17,0)</f>
        <v>0</v>
      </c>
      <c r="S202" s="26">
        <f t="shared" si="56"/>
        <v>0</v>
      </c>
      <c r="T202" s="27">
        <v>0</v>
      </c>
      <c r="U202" s="12"/>
      <c r="V202" s="22"/>
      <c r="W202" s="23">
        <f t="shared" si="57"/>
        <v>1264000</v>
      </c>
      <c r="X202" s="45"/>
    </row>
    <row r="203" spans="1:24" ht="24.95" hidden="1" customHeight="1">
      <c r="A203" s="1">
        <v>9</v>
      </c>
      <c r="B203" s="24">
        <v>1317842920</v>
      </c>
      <c r="C203" s="25" t="str">
        <f t="shared" si="52"/>
        <v>920</v>
      </c>
      <c r="D203" s="25" t="str">
        <f t="shared" si="53"/>
        <v>317842</v>
      </c>
      <c r="E203" s="25" t="s">
        <v>210</v>
      </c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>
        <f>VLOOKUP(B:B,'[3]תקבולים 2017'!B:R,15,0)</f>
        <v>0</v>
      </c>
      <c r="Q203" s="26">
        <f>-VLOOKUP(B:B,'[3]דוח כספי 10.17 מעודכן'!A:D,4,0)</f>
        <v>0</v>
      </c>
      <c r="R203" s="26">
        <f>VLOOKUP(B:B,'[3]תקבולים 2017'!B:T,17,0)</f>
        <v>0</v>
      </c>
      <c r="S203" s="26">
        <f t="shared" si="56"/>
        <v>0</v>
      </c>
      <c r="T203" s="27">
        <v>0</v>
      </c>
      <c r="U203" s="12"/>
      <c r="V203" s="22"/>
      <c r="W203" s="23">
        <f t="shared" si="57"/>
        <v>0</v>
      </c>
      <c r="X203" s="45"/>
    </row>
    <row r="204" spans="1:24" s="39" customFormat="1" ht="24.95" customHeight="1">
      <c r="A204" s="39">
        <v>9</v>
      </c>
      <c r="B204" s="24">
        <v>1317850920</v>
      </c>
      <c r="C204" s="25" t="str">
        <f t="shared" si="52"/>
        <v>920</v>
      </c>
      <c r="D204" s="25" t="str">
        <f t="shared" si="53"/>
        <v>317850</v>
      </c>
      <c r="E204" s="25" t="s">
        <v>211</v>
      </c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>
        <f>VLOOKUP(B:B,'[3]תקבולים 2017'!B:R,15,0)</f>
        <v>14000</v>
      </c>
      <c r="Q204" s="26">
        <f>-VLOOKUP(B:B,'[3]דוח כספי 10.17 מעודכן'!A:D,4,0)</f>
        <v>6585.68</v>
      </c>
      <c r="R204" s="26">
        <f>VLOOKUP(B:B,'[3]תקבולים 2017'!B:T,17,0)</f>
        <v>8000</v>
      </c>
      <c r="S204" s="26">
        <f t="shared" si="56"/>
        <v>7902.8159999999998</v>
      </c>
      <c r="T204" s="27">
        <v>0</v>
      </c>
      <c r="U204" s="40"/>
      <c r="V204" s="41"/>
      <c r="W204" s="42">
        <f t="shared" si="57"/>
        <v>7414.32</v>
      </c>
      <c r="X204" s="45">
        <v>1315209920</v>
      </c>
    </row>
    <row r="205" spans="1:24" s="39" customFormat="1" ht="24.95" hidden="1" customHeight="1">
      <c r="A205" s="39">
        <v>9</v>
      </c>
      <c r="B205" s="24">
        <v>1317851920</v>
      </c>
      <c r="C205" s="25" t="str">
        <f t="shared" si="52"/>
        <v>920</v>
      </c>
      <c r="D205" s="25" t="str">
        <f t="shared" si="53"/>
        <v>317851</v>
      </c>
      <c r="E205" s="25" t="s">
        <v>212</v>
      </c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>
        <f>VLOOKUP(B:B,'[3]תקבולים 2017'!B:R,15,0)</f>
        <v>0</v>
      </c>
      <c r="Q205" s="26">
        <f>-VLOOKUP(B:B,'[3]דוח כספי 10.17 מעודכן'!A:D,4,0)</f>
        <v>0</v>
      </c>
      <c r="R205" s="26">
        <f>VLOOKUP(B:B,'[3]תקבולים 2017'!B:T,17,0)</f>
        <v>0</v>
      </c>
      <c r="S205" s="26">
        <f t="shared" si="56"/>
        <v>0</v>
      </c>
      <c r="T205" s="27">
        <v>0</v>
      </c>
      <c r="U205" s="40"/>
      <c r="V205" s="41"/>
      <c r="W205" s="42">
        <f t="shared" si="57"/>
        <v>0</v>
      </c>
      <c r="X205" s="45"/>
    </row>
    <row r="206" spans="1:24" s="39" customFormat="1" ht="24.95" customHeight="1">
      <c r="A206" s="39">
        <v>9</v>
      </c>
      <c r="B206" s="24">
        <v>1317860920</v>
      </c>
      <c r="C206" s="25" t="str">
        <f t="shared" si="52"/>
        <v>920</v>
      </c>
      <c r="D206" s="25" t="str">
        <f t="shared" si="53"/>
        <v>317860</v>
      </c>
      <c r="E206" s="25" t="s">
        <v>213</v>
      </c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>
        <f>VLOOKUP(B:B,'[3]תקבולים 2017'!B:R,15,0)</f>
        <v>331000</v>
      </c>
      <c r="Q206" s="26">
        <f>-VLOOKUP(B:B,'[3]דוח כספי 10.17 מעודכן'!A:D,4,0)</f>
        <v>314110.99</v>
      </c>
      <c r="R206" s="26">
        <f>VLOOKUP(B:B,'[3]תקבולים 2017'!B:T,17,0)</f>
        <v>377000</v>
      </c>
      <c r="S206" s="26">
        <f t="shared" si="56"/>
        <v>376933.18799999997</v>
      </c>
      <c r="T206" s="27">
        <v>0</v>
      </c>
      <c r="U206" s="40"/>
      <c r="V206" s="41"/>
      <c r="W206" s="42">
        <f t="shared" si="57"/>
        <v>16889.010000000009</v>
      </c>
      <c r="X206" s="45">
        <v>1313900920</v>
      </c>
    </row>
    <row r="207" spans="1:24" ht="24.95" hidden="1" customHeight="1">
      <c r="A207" s="1">
        <v>9</v>
      </c>
      <c r="B207" s="24">
        <v>1317861920</v>
      </c>
      <c r="C207" s="25" t="str">
        <f t="shared" si="52"/>
        <v>920</v>
      </c>
      <c r="D207" s="25" t="str">
        <f t="shared" si="53"/>
        <v>317861</v>
      </c>
      <c r="E207" s="25" t="s">
        <v>214</v>
      </c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>
        <f>VLOOKUP(B:B,'[3]תקבולים 2017'!B:R,15,0)</f>
        <v>0</v>
      </c>
      <c r="Q207" s="26">
        <f>-VLOOKUP(B:B,'[3]דוח כספי 10.17 מעודכן'!A:D,4,0)</f>
        <v>-90</v>
      </c>
      <c r="R207" s="26">
        <f>VLOOKUP(B:B,'[3]תקבולים 2017'!B:T,17,0)</f>
        <v>0</v>
      </c>
      <c r="S207" s="26">
        <f t="shared" si="56"/>
        <v>-108</v>
      </c>
      <c r="T207" s="27">
        <v>0</v>
      </c>
      <c r="U207" s="12"/>
      <c r="V207" s="22"/>
      <c r="W207" s="23">
        <f t="shared" si="57"/>
        <v>90</v>
      </c>
      <c r="X207" s="45"/>
    </row>
    <row r="208" spans="1:24" ht="24.95" hidden="1" customHeight="1">
      <c r="A208" s="1">
        <v>10</v>
      </c>
      <c r="B208" s="24">
        <v>1317870690</v>
      </c>
      <c r="C208" s="25" t="str">
        <f t="shared" si="52"/>
        <v>690</v>
      </c>
      <c r="D208" s="25" t="str">
        <f t="shared" si="53"/>
        <v>317870</v>
      </c>
      <c r="E208" s="25" t="s">
        <v>215</v>
      </c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>
        <f>VLOOKUP(B:B,'[3]תקבולים 2017'!B:R,15,0)</f>
        <v>0</v>
      </c>
      <c r="Q208" s="26">
        <f>-VLOOKUP(B:B,'[3]דוח כספי 10.17 מעודכן'!A:D,4,0)</f>
        <v>0</v>
      </c>
      <c r="R208" s="26">
        <f>VLOOKUP(B:B,'[3]תקבולים 2017'!B:T,17,0)</f>
        <v>0</v>
      </c>
      <c r="S208" s="26">
        <f t="shared" si="56"/>
        <v>0</v>
      </c>
      <c r="T208" s="27">
        <v>0</v>
      </c>
      <c r="U208" s="12"/>
      <c r="V208" s="22"/>
      <c r="W208" s="23">
        <f t="shared" si="57"/>
        <v>0</v>
      </c>
      <c r="X208" s="45"/>
    </row>
    <row r="209" spans="1:24" ht="24.95" hidden="1" customHeight="1">
      <c r="A209" s="1">
        <v>9</v>
      </c>
      <c r="B209" s="24">
        <v>1317870920</v>
      </c>
      <c r="C209" s="25" t="str">
        <f t="shared" si="52"/>
        <v>920</v>
      </c>
      <c r="D209" s="25" t="str">
        <f t="shared" si="53"/>
        <v>317870</v>
      </c>
      <c r="E209" s="25" t="s">
        <v>216</v>
      </c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>
        <f>VLOOKUP(B:B,'[3]תקבולים 2017'!B:R,15,0)</f>
        <v>0</v>
      </c>
      <c r="Q209" s="26">
        <f>-VLOOKUP(B:B,'[3]דוח כספי 10.17 מעודכן'!A:D,4,0)</f>
        <v>0</v>
      </c>
      <c r="R209" s="26">
        <f>VLOOKUP(B:B,'[3]תקבולים 2017'!B:T,17,0)</f>
        <v>0</v>
      </c>
      <c r="S209" s="26">
        <f t="shared" si="56"/>
        <v>0</v>
      </c>
      <c r="T209" s="27">
        <v>0</v>
      </c>
      <c r="U209" s="12"/>
      <c r="V209" s="22"/>
      <c r="W209" s="23">
        <f t="shared" si="57"/>
        <v>0</v>
      </c>
      <c r="X209" s="45"/>
    </row>
    <row r="210" spans="1:24" ht="24.95" hidden="1" customHeight="1">
      <c r="A210" s="1">
        <v>9</v>
      </c>
      <c r="B210" s="24">
        <v>1317875920</v>
      </c>
      <c r="C210" s="25" t="str">
        <f t="shared" si="52"/>
        <v>920</v>
      </c>
      <c r="D210" s="25" t="str">
        <f t="shared" si="53"/>
        <v>317875</v>
      </c>
      <c r="E210" s="25" t="s">
        <v>217</v>
      </c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>
        <f>VLOOKUP(B:B,'[3]תקבולים 2017'!B:R,15,0)</f>
        <v>0</v>
      </c>
      <c r="Q210" s="26">
        <f>-VLOOKUP(B:B,'[3]דוח כספי 10.17 מעודכן'!A:D,4,0)</f>
        <v>-13576.53</v>
      </c>
      <c r="R210" s="26">
        <f>VLOOKUP(B:B,'[3]תקבולים 2017'!B:T,17,0)</f>
        <v>0</v>
      </c>
      <c r="S210" s="26">
        <f t="shared" si="56"/>
        <v>-16291.835999999999</v>
      </c>
      <c r="T210" s="27">
        <v>0</v>
      </c>
      <c r="U210" s="12"/>
      <c r="V210" s="22"/>
      <c r="W210" s="23">
        <f t="shared" si="57"/>
        <v>13576.53</v>
      </c>
      <c r="X210" s="45"/>
    </row>
    <row r="211" spans="1:24" ht="24.95" hidden="1" customHeight="1">
      <c r="A211" s="1">
        <v>9</v>
      </c>
      <c r="B211" s="24">
        <v>1317880920</v>
      </c>
      <c r="C211" s="25" t="str">
        <f t="shared" si="52"/>
        <v>920</v>
      </c>
      <c r="D211" s="25" t="str">
        <f t="shared" si="53"/>
        <v>317880</v>
      </c>
      <c r="E211" s="25" t="s">
        <v>218</v>
      </c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>
        <f>VLOOKUP(B:B,'[3]תקבולים 2017'!B:R,15,0)</f>
        <v>0</v>
      </c>
      <c r="Q211" s="26">
        <f>-VLOOKUP(B:B,'[3]דוח כספי 10.17 מעודכן'!A:D,4,0)</f>
        <v>0</v>
      </c>
      <c r="R211" s="26">
        <f>VLOOKUP(B:B,'[3]תקבולים 2017'!B:T,17,0)</f>
        <v>0</v>
      </c>
      <c r="S211" s="26">
        <f t="shared" si="56"/>
        <v>0</v>
      </c>
      <c r="T211" s="27">
        <v>0</v>
      </c>
      <c r="U211" s="12"/>
      <c r="V211" s="22"/>
      <c r="W211" s="23">
        <f t="shared" si="57"/>
        <v>0</v>
      </c>
      <c r="X211" s="45"/>
    </row>
    <row r="212" spans="1:24" ht="24.95" hidden="1" customHeight="1">
      <c r="A212" s="1">
        <v>9</v>
      </c>
      <c r="B212" s="24">
        <v>1317890920</v>
      </c>
      <c r="C212" s="25" t="str">
        <f t="shared" si="52"/>
        <v>920</v>
      </c>
      <c r="D212" s="25" t="str">
        <f t="shared" si="53"/>
        <v>317890</v>
      </c>
      <c r="E212" s="25" t="s">
        <v>219</v>
      </c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>
        <f>VLOOKUP(B:B,'[3]תקבולים 2017'!B:R,15,0)</f>
        <v>0</v>
      </c>
      <c r="Q212" s="26">
        <f>-VLOOKUP(B:B,'[3]דוח כספי 10.17 מעודכן'!A:D,4,0)</f>
        <v>0</v>
      </c>
      <c r="R212" s="26">
        <f>VLOOKUP(B:B,'[3]תקבולים 2017'!B:T,17,0)</f>
        <v>0</v>
      </c>
      <c r="S212" s="26">
        <f t="shared" si="56"/>
        <v>0</v>
      </c>
      <c r="T212" s="27">
        <v>0</v>
      </c>
      <c r="U212" s="12"/>
      <c r="V212" s="22"/>
      <c r="W212" s="23">
        <f t="shared" si="57"/>
        <v>0</v>
      </c>
      <c r="X212" s="45"/>
    </row>
    <row r="213" spans="1:24" s="39" customFormat="1" ht="24.95" customHeight="1">
      <c r="A213" s="39">
        <v>9</v>
      </c>
      <c r="B213" s="24">
        <v>1317891920</v>
      </c>
      <c r="C213" s="25" t="str">
        <f t="shared" si="52"/>
        <v>920</v>
      </c>
      <c r="D213" s="25" t="str">
        <f t="shared" si="53"/>
        <v>317891</v>
      </c>
      <c r="E213" s="25" t="s">
        <v>220</v>
      </c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>
        <f>VLOOKUP(B:B,'[3]תקבולים 2017'!B:R,15,0)</f>
        <v>100000</v>
      </c>
      <c r="Q213" s="26">
        <f>-VLOOKUP(B:B,'[3]דוח כספי 10.17 מעודכן'!A:D,4,0)</f>
        <v>146666.46</v>
      </c>
      <c r="R213" s="26">
        <f>VLOOKUP(B:B,'[3]תקבולים 2017'!B:T,17,0)</f>
        <v>175999.75199999998</v>
      </c>
      <c r="S213" s="26">
        <f t="shared" si="56"/>
        <v>175999.75199999998</v>
      </c>
      <c r="T213" s="27">
        <v>0</v>
      </c>
      <c r="U213" s="40"/>
      <c r="V213" s="41"/>
      <c r="W213" s="42">
        <f t="shared" si="57"/>
        <v>-46666.459999999992</v>
      </c>
      <c r="X213" s="45">
        <v>1315755920</v>
      </c>
    </row>
    <row r="214" spans="1:24" s="39" customFormat="1" ht="24.95" hidden="1" customHeight="1">
      <c r="A214" s="39">
        <v>9</v>
      </c>
      <c r="B214" s="24">
        <v>1317893920</v>
      </c>
      <c r="C214" s="25" t="str">
        <f t="shared" si="52"/>
        <v>920</v>
      </c>
      <c r="D214" s="25" t="str">
        <f t="shared" si="53"/>
        <v>317893</v>
      </c>
      <c r="E214" s="25" t="s">
        <v>221</v>
      </c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>
        <f>VLOOKUP(B:B,'[3]תקבולים 2017'!B:R,15,0)</f>
        <v>0</v>
      </c>
      <c r="Q214" s="26">
        <f>-VLOOKUP(B:B,'[3]דוח כספי 10.17 מעודכן'!A:D,4,0)</f>
        <v>0</v>
      </c>
      <c r="R214" s="26">
        <f>VLOOKUP(B:B,'[3]תקבולים 2017'!B:T,17,0)</f>
        <v>0</v>
      </c>
      <c r="S214" s="26">
        <f t="shared" si="56"/>
        <v>0</v>
      </c>
      <c r="T214" s="27">
        <v>0</v>
      </c>
      <c r="U214" s="40"/>
      <c r="V214" s="41"/>
      <c r="W214" s="42">
        <f t="shared" si="57"/>
        <v>0</v>
      </c>
      <c r="X214" s="45"/>
    </row>
    <row r="215" spans="1:24" s="39" customFormat="1" ht="24.95" hidden="1" customHeight="1">
      <c r="A215" s="39">
        <v>9</v>
      </c>
      <c r="B215" s="24">
        <v>1317894920</v>
      </c>
      <c r="C215" s="25" t="str">
        <f t="shared" si="52"/>
        <v>920</v>
      </c>
      <c r="D215" s="25" t="str">
        <f t="shared" si="53"/>
        <v>317894</v>
      </c>
      <c r="E215" s="25" t="s">
        <v>222</v>
      </c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>
        <f>VLOOKUP(B:B,'[3]תקבולים 2017'!B:R,15,0)</f>
        <v>0</v>
      </c>
      <c r="Q215" s="26">
        <f>-VLOOKUP(B:B,'[3]דוח כספי 10.17 מעודכן'!A:D,4,0)</f>
        <v>0</v>
      </c>
      <c r="R215" s="26">
        <f>VLOOKUP(B:B,'[3]תקבולים 2017'!B:T,17,0)</f>
        <v>0</v>
      </c>
      <c r="S215" s="26">
        <f t="shared" si="56"/>
        <v>0</v>
      </c>
      <c r="T215" s="27">
        <v>0</v>
      </c>
      <c r="U215" s="40"/>
      <c r="V215" s="41"/>
      <c r="W215" s="42">
        <f t="shared" si="57"/>
        <v>0</v>
      </c>
      <c r="X215" s="45"/>
    </row>
    <row r="216" spans="1:24" s="39" customFormat="1" ht="24.95" customHeight="1">
      <c r="A216" s="39">
        <v>9</v>
      </c>
      <c r="B216" s="24">
        <v>1317895920</v>
      </c>
      <c r="C216" s="25" t="str">
        <f t="shared" si="52"/>
        <v>920</v>
      </c>
      <c r="D216" s="25" t="str">
        <f t="shared" si="53"/>
        <v>317895</v>
      </c>
      <c r="E216" s="25" t="s">
        <v>166</v>
      </c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>
        <f>VLOOKUP(B:B,'[3]תקבולים 2017'!B:R,15,0)</f>
        <v>6000</v>
      </c>
      <c r="Q216" s="26">
        <f>-VLOOKUP(B:B,'[3]דוח כספי 10.17 מעודכן'!A:D,4,0)</f>
        <v>3873.2</v>
      </c>
      <c r="R216" s="26">
        <f>VLOOKUP(B:B,'[3]תקבולים 2017'!B:T,17,0)</f>
        <v>5000</v>
      </c>
      <c r="S216" s="26">
        <f t="shared" si="56"/>
        <v>4647.84</v>
      </c>
      <c r="T216" s="27">
        <v>0</v>
      </c>
      <c r="U216" s="40"/>
      <c r="V216" s="41"/>
      <c r="W216" s="42">
        <f t="shared" si="57"/>
        <v>2126.8000000000002</v>
      </c>
      <c r="X216" s="45">
        <v>1315724920</v>
      </c>
    </row>
    <row r="217" spans="1:24" s="39" customFormat="1" ht="24.95" customHeight="1">
      <c r="A217" s="39">
        <v>9</v>
      </c>
      <c r="B217" s="24">
        <v>1317896920</v>
      </c>
      <c r="C217" s="25" t="str">
        <f t="shared" si="52"/>
        <v>920</v>
      </c>
      <c r="D217" s="25" t="str">
        <f t="shared" si="53"/>
        <v>317896</v>
      </c>
      <c r="E217" s="25" t="s">
        <v>223</v>
      </c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>
        <f>VLOOKUP(B:B,'[3]תקבולים 2017'!B:R,15,0)</f>
        <v>597000</v>
      </c>
      <c r="Q217" s="26">
        <f>-VLOOKUP(B:B,'[3]דוח כספי 10.17 מעודכן'!A:D,4,0)</f>
        <v>465798.16</v>
      </c>
      <c r="R217" s="26">
        <f>VLOOKUP(B:B,'[3]תקבולים 2017'!B:T,17,0)</f>
        <v>560000</v>
      </c>
      <c r="S217" s="26">
        <f t="shared" si="56"/>
        <v>558957.79200000002</v>
      </c>
      <c r="T217" s="27">
        <v>0</v>
      </c>
      <c r="U217" s="40"/>
      <c r="V217" s="41"/>
      <c r="W217" s="42">
        <f t="shared" si="57"/>
        <v>131201.84000000003</v>
      </c>
      <c r="X217" s="45" t="s">
        <v>224</v>
      </c>
    </row>
    <row r="218" spans="1:24" s="39" customFormat="1" ht="24.95" customHeight="1">
      <c r="A218" s="39">
        <v>9</v>
      </c>
      <c r="B218" s="24">
        <v>1317897920</v>
      </c>
      <c r="C218" s="25" t="str">
        <f t="shared" si="52"/>
        <v>920</v>
      </c>
      <c r="D218" s="25" t="str">
        <f t="shared" si="53"/>
        <v>317897</v>
      </c>
      <c r="E218" s="25" t="s">
        <v>225</v>
      </c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>
        <f>VLOOKUP(B:B,'[3]תקבולים 2017'!B:R,15,0)</f>
        <v>19000</v>
      </c>
      <c r="Q218" s="26">
        <f>-VLOOKUP(B:B,'[3]דוח כספי 10.17 מעודכן'!A:D,4,0)</f>
        <v>27220.32</v>
      </c>
      <c r="R218" s="26">
        <f>VLOOKUP(B:B,'[3]תקבולים 2017'!B:T,17,0)</f>
        <v>33000</v>
      </c>
      <c r="S218" s="26">
        <f t="shared" si="56"/>
        <v>32664.384000000002</v>
      </c>
      <c r="T218" s="27">
        <v>0</v>
      </c>
      <c r="U218" s="40"/>
      <c r="V218" s="41"/>
      <c r="W218" s="42">
        <f t="shared" si="57"/>
        <v>-8220.32</v>
      </c>
      <c r="X218" s="45">
        <v>1315712920</v>
      </c>
    </row>
    <row r="219" spans="1:24" s="39" customFormat="1" ht="24.95" customHeight="1">
      <c r="A219" s="39">
        <v>9</v>
      </c>
      <c r="B219" s="24">
        <v>1317898920</v>
      </c>
      <c r="C219" s="25" t="str">
        <f t="shared" si="52"/>
        <v>920</v>
      </c>
      <c r="D219" s="25" t="str">
        <f t="shared" si="53"/>
        <v>317898</v>
      </c>
      <c r="E219" s="25" t="s">
        <v>226</v>
      </c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>
        <f>VLOOKUP(B:B,'[3]תקבולים 2017'!B:R,15,0)</f>
        <v>38000</v>
      </c>
      <c r="Q219" s="26">
        <f>-VLOOKUP(B:B,'[3]דוח כספי 10.17 מעודכן'!A:D,4,0)</f>
        <v>11949.69</v>
      </c>
      <c r="R219" s="26">
        <f>VLOOKUP(B:B,'[3]תקבולים 2017'!B:T,17,0)</f>
        <v>14000</v>
      </c>
      <c r="S219" s="26">
        <f t="shared" si="56"/>
        <v>14339.628000000001</v>
      </c>
      <c r="T219" s="27">
        <v>0</v>
      </c>
      <c r="U219" s="40"/>
      <c r="V219" s="41"/>
      <c r="W219" s="42">
        <f t="shared" si="57"/>
        <v>26050.309999999998</v>
      </c>
      <c r="X219" s="45">
        <v>1315710920</v>
      </c>
    </row>
    <row r="220" spans="1:24" ht="24.95" hidden="1" customHeight="1">
      <c r="A220" s="1">
        <v>9</v>
      </c>
      <c r="B220" s="24">
        <v>1317900920</v>
      </c>
      <c r="C220" s="25" t="str">
        <f t="shared" si="52"/>
        <v>920</v>
      </c>
      <c r="D220" s="25" t="str">
        <f t="shared" si="53"/>
        <v>317900</v>
      </c>
      <c r="E220" s="25" t="s">
        <v>227</v>
      </c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>
        <f>VLOOKUP(B:B,'[3]תקבולים 2017'!B:R,15,0)</f>
        <v>0</v>
      </c>
      <c r="Q220" s="26">
        <f>-VLOOKUP(B:B,'[3]דוח כספי 10.17 מעודכן'!A:D,4,0)</f>
        <v>0</v>
      </c>
      <c r="R220" s="26">
        <f>VLOOKUP(B:B,'[3]תקבולים 2017'!B:T,17,0)</f>
        <v>0</v>
      </c>
      <c r="S220" s="26">
        <f t="shared" si="56"/>
        <v>0</v>
      </c>
      <c r="T220" s="27">
        <v>0</v>
      </c>
      <c r="U220" s="12"/>
      <c r="V220" s="22"/>
      <c r="W220" s="23">
        <f t="shared" si="57"/>
        <v>0</v>
      </c>
      <c r="X220" s="45"/>
    </row>
    <row r="221" spans="1:24" ht="24.95" customHeight="1">
      <c r="A221" s="1">
        <v>9</v>
      </c>
      <c r="B221" s="24">
        <v>1318000920</v>
      </c>
      <c r="C221" s="25" t="str">
        <f t="shared" si="52"/>
        <v>920</v>
      </c>
      <c r="D221" s="25" t="str">
        <f t="shared" si="53"/>
        <v>318000</v>
      </c>
      <c r="E221" s="25" t="s">
        <v>228</v>
      </c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>
        <f>VLOOKUP(B:B,'[3]תקבולים 2017'!B:R,15,0)</f>
        <v>6000</v>
      </c>
      <c r="Q221" s="26">
        <f>-VLOOKUP(B:B,'[3]דוח כספי 10.17 מעודכן'!A:D,4,0)</f>
        <v>0</v>
      </c>
      <c r="R221" s="26">
        <f>VLOOKUP(B:B,'[3]תקבולים 2017'!B:T,17,0)</f>
        <v>0</v>
      </c>
      <c r="S221" s="26">
        <f t="shared" si="56"/>
        <v>0</v>
      </c>
      <c r="T221" s="27">
        <v>0</v>
      </c>
      <c r="U221" s="12"/>
      <c r="V221" s="22"/>
      <c r="W221" s="23">
        <f t="shared" si="57"/>
        <v>6000</v>
      </c>
      <c r="X221" s="45"/>
    </row>
    <row r="222" spans="1:24" ht="24.95" hidden="1" customHeight="1">
      <c r="A222" s="1">
        <v>10</v>
      </c>
      <c r="B222" s="24">
        <v>1318100740</v>
      </c>
      <c r="C222" s="25" t="str">
        <f t="shared" si="52"/>
        <v>740</v>
      </c>
      <c r="D222" s="25" t="str">
        <f t="shared" si="53"/>
        <v>318100</v>
      </c>
      <c r="E222" s="25" t="s">
        <v>229</v>
      </c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>
        <f>VLOOKUP(B:B,'[3]תקבולים 2017'!B:R,15,0)</f>
        <v>0</v>
      </c>
      <c r="Q222" s="26">
        <f>-VLOOKUP(B:B,'[3]דוח כספי 10.17 מעודכן'!A:D,4,0)</f>
        <v>0</v>
      </c>
      <c r="R222" s="26">
        <f>VLOOKUP(B:B,'[3]תקבולים 2017'!B:T,17,0)</f>
        <v>0</v>
      </c>
      <c r="S222" s="26">
        <f t="shared" si="56"/>
        <v>0</v>
      </c>
      <c r="T222" s="27">
        <v>0</v>
      </c>
      <c r="U222" s="12"/>
      <c r="V222" s="22"/>
      <c r="W222" s="23">
        <f t="shared" si="57"/>
        <v>0</v>
      </c>
      <c r="X222" s="45"/>
    </row>
    <row r="223" spans="1:24" ht="24.95" hidden="1" customHeight="1">
      <c r="A223" s="1">
        <v>9</v>
      </c>
      <c r="B223" s="24">
        <v>1318100920</v>
      </c>
      <c r="C223" s="25" t="str">
        <f t="shared" si="52"/>
        <v>920</v>
      </c>
      <c r="D223" s="25" t="str">
        <f t="shared" si="53"/>
        <v>318100</v>
      </c>
      <c r="E223" s="25" t="s">
        <v>230</v>
      </c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>
        <f>VLOOKUP(B:B,'[3]תקבולים 2017'!B:R,15,0)</f>
        <v>0</v>
      </c>
      <c r="Q223" s="26">
        <f>-VLOOKUP(B:B,'[3]דוח כספי 10.17 מעודכן'!A:D,4,0)</f>
        <v>0</v>
      </c>
      <c r="R223" s="26">
        <f>VLOOKUP(B:B,'[3]תקבולים 2017'!B:T,17,0)</f>
        <v>0</v>
      </c>
      <c r="S223" s="26">
        <f t="shared" si="56"/>
        <v>0</v>
      </c>
      <c r="T223" s="27">
        <v>0</v>
      </c>
      <c r="U223" s="12"/>
      <c r="V223" s="22"/>
      <c r="W223" s="23">
        <f t="shared" si="57"/>
        <v>0</v>
      </c>
      <c r="X223" s="45"/>
    </row>
    <row r="224" spans="1:24" s="39" customFormat="1" ht="24.95" customHeight="1">
      <c r="A224" s="39">
        <v>9</v>
      </c>
      <c r="B224" s="24">
        <v>1319000920</v>
      </c>
      <c r="C224" s="25" t="str">
        <f t="shared" si="52"/>
        <v>920</v>
      </c>
      <c r="D224" s="25" t="str">
        <f t="shared" si="53"/>
        <v>319000</v>
      </c>
      <c r="E224" s="25" t="s">
        <v>231</v>
      </c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>
        <f>VLOOKUP(B:B,'[3]תקבולים 2017'!B:R,15,0)</f>
        <v>555000</v>
      </c>
      <c r="Q224" s="26">
        <f>-VLOOKUP(B:B,'[3]דוח כספי 10.17 מעודכן'!A:D,4,0)</f>
        <v>529135.63</v>
      </c>
      <c r="R224" s="26">
        <f>VLOOKUP(B:B,'[3]תקבולים 2017'!B:T,17,0)</f>
        <v>530000</v>
      </c>
      <c r="S224" s="26">
        <f t="shared" si="56"/>
        <v>634962.75600000005</v>
      </c>
      <c r="T224" s="27">
        <v>0</v>
      </c>
      <c r="U224" s="40"/>
      <c r="V224" s="41"/>
      <c r="W224" s="42">
        <f t="shared" si="57"/>
        <v>25864.369999999995</v>
      </c>
      <c r="X224" s="45" t="s">
        <v>232</v>
      </c>
    </row>
    <row r="225" spans="1:24" s="39" customFormat="1" ht="24.95" hidden="1" customHeight="1">
      <c r="B225" s="24"/>
      <c r="C225" s="25"/>
      <c r="D225" s="25"/>
      <c r="E225" s="25"/>
      <c r="F225" s="26"/>
      <c r="G225" s="26"/>
      <c r="H225" s="26"/>
      <c r="I225" s="26"/>
      <c r="J225" s="26"/>
      <c r="K225" s="26"/>
      <c r="L225" s="26"/>
      <c r="M225" s="26"/>
      <c r="N225" s="26"/>
      <c r="O225" s="44"/>
      <c r="P225" s="26"/>
      <c r="Q225" s="26"/>
      <c r="R225" s="26"/>
      <c r="S225" s="26"/>
      <c r="T225" s="27"/>
      <c r="U225" s="40"/>
      <c r="W225" s="42"/>
      <c r="X225" s="45"/>
    </row>
    <row r="226" spans="1:24" s="39" customFormat="1" ht="24.95" customHeight="1">
      <c r="A226" s="39">
        <v>9</v>
      </c>
      <c r="B226" s="24">
        <v>1319100920</v>
      </c>
      <c r="C226" s="25" t="str">
        <f>MID(B226,8,3)</f>
        <v>920</v>
      </c>
      <c r="D226" s="25" t="str">
        <f>MID(B226,2,6)</f>
        <v>319100</v>
      </c>
      <c r="E226" s="25" t="s">
        <v>86</v>
      </c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>
        <f>VLOOKUP(B:B,'[3]תקבולים 2017'!B:R,15,0)</f>
        <v>52000</v>
      </c>
      <c r="Q226" s="26">
        <f>-VLOOKUP(B:B,'[3]דוח כספי 10.17 מעודכן'!A:D,4,0)</f>
        <v>47395</v>
      </c>
      <c r="R226" s="26">
        <f>VLOOKUP(B:B,'[3]תקבולים 2017'!B:T,17,0)</f>
        <v>56000</v>
      </c>
      <c r="S226" s="26">
        <f>Q226/10*12</f>
        <v>56874</v>
      </c>
      <c r="T226" s="27">
        <v>0</v>
      </c>
      <c r="U226" s="40"/>
      <c r="V226" s="41"/>
      <c r="W226" s="42">
        <f>P226-Q226</f>
        <v>4605</v>
      </c>
      <c r="X226" s="45">
        <v>1311120920</v>
      </c>
    </row>
    <row r="227" spans="1:24" ht="24.95" hidden="1" customHeight="1">
      <c r="A227" s="1">
        <v>9</v>
      </c>
      <c r="B227" s="24">
        <v>1319200920</v>
      </c>
      <c r="C227" s="25" t="str">
        <f>MID(B227,8,3)</f>
        <v>920</v>
      </c>
      <c r="D227" s="25" t="str">
        <f>MID(B227,2,6)</f>
        <v>319200</v>
      </c>
      <c r="E227" s="25" t="s">
        <v>233</v>
      </c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>
        <f>VLOOKUP(B:B,'[3]תקבולים 2017'!B:R,15,0)</f>
        <v>0</v>
      </c>
      <c r="Q227" s="26">
        <f>-VLOOKUP(B:B,'[3]דוח כספי 10.17 מעודכן'!A:D,4,0)</f>
        <v>0</v>
      </c>
      <c r="R227" s="26">
        <f>VLOOKUP(B:B,'[3]תקבולים 2017'!B:T,17,0)</f>
        <v>0</v>
      </c>
      <c r="S227" s="26">
        <f>Q227/10*12</f>
        <v>0</v>
      </c>
      <c r="T227" s="27">
        <v>0</v>
      </c>
      <c r="U227" s="61"/>
      <c r="V227" s="62"/>
      <c r="W227" s="63">
        <f>P227-Q227</f>
        <v>0</v>
      </c>
      <c r="X227" s="45">
        <v>1311120920</v>
      </c>
    </row>
    <row r="228" spans="1:24" ht="24.95" customHeight="1">
      <c r="A228" s="1">
        <v>9</v>
      </c>
      <c r="B228" s="24">
        <v>1319217920</v>
      </c>
      <c r="C228" s="25" t="str">
        <f>MID(B228,8,3)</f>
        <v>920</v>
      </c>
      <c r="D228" s="25" t="str">
        <f>MID(B228,2,6)</f>
        <v>319217</v>
      </c>
      <c r="E228" s="25" t="s">
        <v>234</v>
      </c>
      <c r="F228" s="26"/>
      <c r="G228" s="26"/>
      <c r="H228" s="26"/>
      <c r="I228" s="26"/>
      <c r="J228" s="26"/>
      <c r="K228" s="26"/>
      <c r="L228" s="26"/>
      <c r="M228" s="26"/>
      <c r="N228" s="26"/>
      <c r="O228" s="44"/>
      <c r="P228" s="26">
        <v>0</v>
      </c>
      <c r="Q228" s="26">
        <v>0</v>
      </c>
      <c r="R228" s="26">
        <v>0</v>
      </c>
      <c r="S228" s="26">
        <v>0</v>
      </c>
      <c r="T228" s="27">
        <v>10000</v>
      </c>
      <c r="U228" s="46"/>
      <c r="V228" s="47"/>
      <c r="W228" s="48"/>
      <c r="X228" s="45">
        <v>1314000920</v>
      </c>
    </row>
    <row r="229" spans="1:24" ht="24.95" customHeight="1">
      <c r="A229" s="1">
        <v>9</v>
      </c>
      <c r="B229" s="24">
        <v>1319999920</v>
      </c>
      <c r="C229" s="25" t="str">
        <f>MID(B229,8,3)</f>
        <v>920</v>
      </c>
      <c r="D229" s="25" t="str">
        <f>MID(B229,2,6)</f>
        <v>319999</v>
      </c>
      <c r="E229" s="25" t="s">
        <v>40</v>
      </c>
      <c r="F229" s="26"/>
      <c r="G229" s="26"/>
      <c r="H229" s="26"/>
      <c r="I229" s="26"/>
      <c r="J229" s="26"/>
      <c r="K229" s="26"/>
      <c r="L229" s="26"/>
      <c r="M229" s="26"/>
      <c r="N229" s="26"/>
      <c r="O229" s="44"/>
      <c r="P229" s="26"/>
      <c r="Q229" s="26"/>
      <c r="R229" s="26">
        <v>176000</v>
      </c>
      <c r="S229" s="26"/>
      <c r="T229" s="27">
        <v>181000</v>
      </c>
      <c r="U229" s="46"/>
      <c r="V229" s="47"/>
      <c r="W229" s="48"/>
      <c r="X229" s="59"/>
    </row>
    <row r="230" spans="1:24" ht="24.95" customHeight="1">
      <c r="B230" s="28"/>
      <c r="C230" s="29"/>
      <c r="D230" s="29"/>
      <c r="E230" s="29" t="s">
        <v>68</v>
      </c>
      <c r="F230" s="30">
        <f t="shared" ref="F230:K230" si="58">SUM(F167:F172)</f>
        <v>535000</v>
      </c>
      <c r="G230" s="30">
        <f t="shared" si="58"/>
        <v>879924.6</v>
      </c>
      <c r="H230" s="30">
        <f t="shared" si="58"/>
        <v>1055909.52</v>
      </c>
      <c r="I230" s="30">
        <f t="shared" si="58"/>
        <v>1013303.1359999999</v>
      </c>
      <c r="J230" s="30" t="e">
        <f t="shared" si="58"/>
        <v>#REF!</v>
      </c>
      <c r="K230" s="30" t="e">
        <f t="shared" si="58"/>
        <v>#REF!</v>
      </c>
      <c r="L230" s="30">
        <f>SUM(L167:L227)</f>
        <v>1016000</v>
      </c>
      <c r="M230" s="30">
        <f>SUM(M167:M227)</f>
        <v>888500</v>
      </c>
      <c r="N230" s="30">
        <f>SUM(N167:N227)</f>
        <v>918500</v>
      </c>
      <c r="O230" s="30" t="e">
        <f>SUM(O167:O227)</f>
        <v>#N/A</v>
      </c>
      <c r="P230" s="30">
        <f t="shared" ref="P230:Q230" si="59">SUM(P167:P228)</f>
        <v>10122000</v>
      </c>
      <c r="Q230" s="30">
        <f t="shared" si="59"/>
        <v>8410192.1300000008</v>
      </c>
      <c r="R230" s="30">
        <f>SUM(R167:R229)</f>
        <v>9753999.7520000003</v>
      </c>
      <c r="S230" s="30">
        <f>SUM(S167:S228)</f>
        <v>10092230.556000002</v>
      </c>
      <c r="T230" s="31">
        <f>SUM(T167:T229)</f>
        <v>2706000</v>
      </c>
      <c r="U230" s="12">
        <f>IF(ISBLANK(B230),1,--OR(L230&gt;1,M230&gt;1,N230&gt;1))</f>
        <v>1</v>
      </c>
      <c r="V230" s="22">
        <f>+Q230-N230</f>
        <v>7491692.1300000008</v>
      </c>
      <c r="W230" s="23">
        <f>P230-Q230</f>
        <v>1711807.8699999992</v>
      </c>
      <c r="X230" s="43"/>
    </row>
    <row r="231" spans="1:24" ht="24.95" customHeight="1">
      <c r="B231" s="32"/>
      <c r="C231" s="33"/>
      <c r="D231" s="33"/>
      <c r="E231" s="33" t="s">
        <v>235</v>
      </c>
      <c r="F231" s="34" t="e">
        <f>F230+F166+F115+#REF!+#REF!+#REF!+#REF!</f>
        <v>#REF!</v>
      </c>
      <c r="G231" s="34" t="e">
        <f>G230+G166+G115+#REF!+#REF!+#REF!+#REF!</f>
        <v>#REF!</v>
      </c>
      <c r="H231" s="34" t="e">
        <f>H230+H166+H115+#REF!+#REF!+#REF!+#REF!</f>
        <v>#REF!</v>
      </c>
      <c r="I231" s="34" t="e">
        <f>I230+I166+I115+#REF!+#REF!+#REF!+#REF!</f>
        <v>#REF!</v>
      </c>
      <c r="J231" s="34" t="e">
        <f>J230+J166+J115+#REF!+#REF!+#REF!+#REF!</f>
        <v>#REF!</v>
      </c>
      <c r="K231" s="34" t="e">
        <f>K230+K166+K115+#REF!+#REF!+#REF!+#REF!</f>
        <v>#REF!</v>
      </c>
      <c r="L231" s="34" t="e">
        <f>L230+L166+L115+#REF!+#REF!+#REF!+#REF!</f>
        <v>#REF!</v>
      </c>
      <c r="M231" s="34" t="e">
        <f>M230+M166+M115+#REF!+#REF!+#REF!+#REF!</f>
        <v>#REF!</v>
      </c>
      <c r="N231" s="34" t="e">
        <f>N230+N166+N115+#REF!+#REF!+#REF!+#REF!</f>
        <v>#REF!</v>
      </c>
      <c r="O231" s="34" t="e">
        <f>O230+O166+O115+#REF!+#REF!+#REF!+#REF!</f>
        <v>#N/A</v>
      </c>
      <c r="P231" s="34">
        <f t="shared" ref="P231:T231" si="60">P67+P77+P115+P118+P166+P230</f>
        <v>27383000</v>
      </c>
      <c r="Q231" s="34">
        <f t="shared" si="60"/>
        <v>27517970.149999999</v>
      </c>
      <c r="R231" s="34">
        <f t="shared" si="60"/>
        <v>32967000</v>
      </c>
      <c r="S231" s="34">
        <f t="shared" si="60"/>
        <v>33212581.044</v>
      </c>
      <c r="T231" s="35">
        <f t="shared" si="60"/>
        <v>34266000</v>
      </c>
      <c r="U231" s="12" t="e">
        <f>U230+U166+U115+#REF!+#REF!+#REF!+U118</f>
        <v>#REF!</v>
      </c>
      <c r="V231" s="22" t="e">
        <f>V230+V166+V115+#REF!+#REF!+#REF!+V118</f>
        <v>#REF!</v>
      </c>
      <c r="W231" s="23" t="e">
        <f>W230+W166+W115+#REF!+#REF!+#REF!+W118</f>
        <v>#REF!</v>
      </c>
      <c r="X231" s="43"/>
    </row>
    <row r="232" spans="1:24" ht="24.95" customHeight="1">
      <c r="B232" s="36"/>
      <c r="C232" s="37" t="s">
        <v>236</v>
      </c>
      <c r="D232" s="37"/>
      <c r="E232" s="37"/>
      <c r="F232" s="37"/>
      <c r="G232" s="37"/>
      <c r="H232" s="37"/>
      <c r="I232" s="38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1"/>
      <c r="U232" s="12">
        <f>IF(ISBLANK(B232),1,--OR(L232&gt;1,M232&gt;1,N232&gt;1))</f>
        <v>1</v>
      </c>
      <c r="V232" s="22">
        <f>+Q232-N232</f>
        <v>0</v>
      </c>
      <c r="W232" s="23">
        <f t="shared" ref="W232:W254" si="61">P232-Q232</f>
        <v>0</v>
      </c>
      <c r="X232" s="45"/>
    </row>
    <row r="233" spans="1:24" ht="24.95" customHeight="1">
      <c r="A233" s="1">
        <v>8</v>
      </c>
      <c r="B233" s="66">
        <v>1323000920</v>
      </c>
      <c r="C233" s="25" t="str">
        <f t="shared" ref="C233:C245" si="62">MID(B233,8,3)</f>
        <v>920</v>
      </c>
      <c r="D233" s="25" t="str">
        <f t="shared" ref="D233:D245" si="63">MID(B233,2,6)</f>
        <v>323000</v>
      </c>
      <c r="E233" s="25" t="s">
        <v>237</v>
      </c>
      <c r="F233" s="67"/>
      <c r="G233" s="67"/>
      <c r="H233" s="67"/>
      <c r="I233" s="68"/>
      <c r="J233" s="26"/>
      <c r="K233" s="26"/>
      <c r="L233" s="26">
        <v>200000</v>
      </c>
      <c r="M233" s="26">
        <v>178085</v>
      </c>
      <c r="N233" s="26">
        <v>0</v>
      </c>
      <c r="O233" s="26" t="e">
        <f>VLOOKUP(B233,[3]כספי!$A$1:$E$324,5,0)</f>
        <v>#N/A</v>
      </c>
      <c r="P233" s="26">
        <f>VLOOKUP(B:B,'[3]תקבולים 2017'!B:R,15,0)</f>
        <v>79000</v>
      </c>
      <c r="Q233" s="26">
        <f>-VLOOKUP(B:B,'[3]דוח כספי 10.17 מעודכן'!A:D,4,0)</f>
        <v>0</v>
      </c>
      <c r="R233" s="26">
        <f>VLOOKUP(B:B,'[3]תקבולים 2017'!B:T,17,0)</f>
        <v>0</v>
      </c>
      <c r="S233" s="26">
        <f t="shared" ref="S233:S245" si="64">Q233/10*12</f>
        <v>0</v>
      </c>
      <c r="T233" s="27">
        <v>0</v>
      </c>
      <c r="U233" s="12">
        <f>IF(ISBLANK(B233),1,--OR(L233&gt;1,M233&gt;1,N233&gt;1))</f>
        <v>1</v>
      </c>
      <c r="V233" s="22">
        <f>+Q233-N233</f>
        <v>0</v>
      </c>
      <c r="W233" s="23">
        <f t="shared" si="61"/>
        <v>79000</v>
      </c>
      <c r="X233" s="45"/>
    </row>
    <row r="234" spans="1:24" ht="24.95" customHeight="1">
      <c r="A234" s="1">
        <v>8</v>
      </c>
      <c r="B234" s="66">
        <v>1323100920</v>
      </c>
      <c r="C234" s="25" t="str">
        <f t="shared" si="62"/>
        <v>920</v>
      </c>
      <c r="D234" s="25" t="str">
        <f t="shared" si="63"/>
        <v>323100</v>
      </c>
      <c r="E234" s="25" t="s">
        <v>238</v>
      </c>
      <c r="F234" s="67"/>
      <c r="G234" s="67"/>
      <c r="H234" s="67"/>
      <c r="I234" s="68"/>
      <c r="J234" s="26"/>
      <c r="K234" s="26"/>
      <c r="L234" s="26"/>
      <c r="M234" s="26"/>
      <c r="N234" s="26"/>
      <c r="O234" s="26" t="e">
        <f>VLOOKUP(B234,[3]כספי!$A$1:$E$324,5,0)</f>
        <v>#N/A</v>
      </c>
      <c r="P234" s="26">
        <f>VLOOKUP(B:B,'[3]תקבולים 2017'!B:R,15,0)</f>
        <v>40000</v>
      </c>
      <c r="Q234" s="26">
        <f>-VLOOKUP(B:B,'[3]דוח כספי 10.17 מעודכן'!A:D,4,0)</f>
        <v>57208</v>
      </c>
      <c r="R234" s="26">
        <f>VLOOKUP(B:B,'[3]תקבולים 2017'!B:T,17,0)</f>
        <v>57000</v>
      </c>
      <c r="S234" s="26">
        <f t="shared" si="64"/>
        <v>68649.600000000006</v>
      </c>
      <c r="T234" s="27">
        <v>70000</v>
      </c>
      <c r="U234" s="12"/>
      <c r="V234" s="22">
        <f>+Q234-N234</f>
        <v>57208</v>
      </c>
      <c r="W234" s="23">
        <f t="shared" si="61"/>
        <v>-17208</v>
      </c>
      <c r="X234" s="45"/>
    </row>
    <row r="235" spans="1:24" ht="24.95" customHeight="1">
      <c r="A235" s="1">
        <v>3</v>
      </c>
      <c r="B235" s="24">
        <v>1324000420</v>
      </c>
      <c r="C235" s="25" t="str">
        <f t="shared" si="62"/>
        <v>420</v>
      </c>
      <c r="D235" s="25" t="str">
        <f t="shared" si="63"/>
        <v>324000</v>
      </c>
      <c r="E235" s="25" t="s">
        <v>239</v>
      </c>
      <c r="F235" s="26">
        <v>30000</v>
      </c>
      <c r="G235" s="26">
        <v>8716.67</v>
      </c>
      <c r="H235" s="26">
        <v>70000</v>
      </c>
      <c r="I235" s="26">
        <v>160000</v>
      </c>
      <c r="J235" s="26" t="e">
        <f>VLOOKUP(B235,#REF!,6,0)</f>
        <v>#REF!</v>
      </c>
      <c r="K235" s="26" t="e">
        <f>+J235*1.71428571428571</f>
        <v>#REF!</v>
      </c>
      <c r="L235" s="26">
        <v>12000</v>
      </c>
      <c r="M235" s="26">
        <v>12000</v>
      </c>
      <c r="N235" s="26">
        <v>12000</v>
      </c>
      <c r="O235" s="26" t="e">
        <f>VLOOKUP(B235,[3]כספי!$A$1:$E$324,5,0)</f>
        <v>#N/A</v>
      </c>
      <c r="P235" s="26">
        <f>VLOOKUP(B:B,'[3]תקבולים 2017'!B:R,15,0)</f>
        <v>1000</v>
      </c>
      <c r="Q235" s="26">
        <f>-VLOOKUP(B:B,'[3]דוח כספי 10.17 מעודכן'!A:D,4,0)</f>
        <v>750</v>
      </c>
      <c r="R235" s="26">
        <f>VLOOKUP(B:B,'[3]תקבולים 2017'!B:T,17,0)</f>
        <v>1000</v>
      </c>
      <c r="S235" s="26">
        <f t="shared" si="64"/>
        <v>900</v>
      </c>
      <c r="T235" s="27">
        <v>1000</v>
      </c>
      <c r="U235" s="12">
        <f>IF(ISBLANK(B235),1,--OR(L235&gt;1,M235&gt;1,N235&gt;1))</f>
        <v>1</v>
      </c>
      <c r="V235" s="22">
        <f>+Q235-N235</f>
        <v>-11250</v>
      </c>
      <c r="W235" s="23">
        <f t="shared" si="61"/>
        <v>250</v>
      </c>
      <c r="X235" s="45"/>
    </row>
    <row r="236" spans="1:24" ht="24.95" customHeight="1">
      <c r="A236" s="1">
        <v>3</v>
      </c>
      <c r="B236" s="24">
        <v>1324000720</v>
      </c>
      <c r="C236" s="25" t="str">
        <f t="shared" si="62"/>
        <v>720</v>
      </c>
      <c r="D236" s="25" t="str">
        <f t="shared" si="63"/>
        <v>324000</v>
      </c>
      <c r="E236" s="25" t="s">
        <v>240</v>
      </c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>
        <f>VLOOKUP(B:B,'[3]תקבולים 2017'!B:R,15,0)</f>
        <v>56000</v>
      </c>
      <c r="Q236" s="26">
        <f>-VLOOKUP(B:B,'[3]דוח כספי 10.17 מעודכן'!A:D,4,0)</f>
        <v>0</v>
      </c>
      <c r="R236" s="26">
        <f>VLOOKUP(B:B,'[3]תקבולים 2017'!B:T,17,0)</f>
        <v>0</v>
      </c>
      <c r="S236" s="26">
        <f t="shared" si="64"/>
        <v>0</v>
      </c>
      <c r="T236" s="27">
        <v>0</v>
      </c>
      <c r="U236" s="12"/>
      <c r="V236" s="22"/>
      <c r="W236" s="23">
        <f t="shared" si="61"/>
        <v>56000</v>
      </c>
      <c r="X236" s="45"/>
    </row>
    <row r="237" spans="1:24" ht="24.95" customHeight="1">
      <c r="A237" s="1">
        <v>8</v>
      </c>
      <c r="B237" s="24">
        <v>1324000920</v>
      </c>
      <c r="C237" s="25" t="str">
        <f t="shared" si="62"/>
        <v>920</v>
      </c>
      <c r="D237" s="25" t="str">
        <f t="shared" si="63"/>
        <v>324000</v>
      </c>
      <c r="E237" s="25" t="s">
        <v>241</v>
      </c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>
        <f>VLOOKUP(B:B,'[3]תקבולים 2017'!B:R,15,0)</f>
        <v>121000</v>
      </c>
      <c r="Q237" s="26">
        <f>-VLOOKUP(B:B,'[3]דוח כספי 10.17 מעודכן'!A:D,4,0)</f>
        <v>37676.720000000001</v>
      </c>
      <c r="R237" s="26">
        <f>VLOOKUP(B:B,'[3]תקבולים 2017'!B:T,17,0)</f>
        <v>45000</v>
      </c>
      <c r="S237" s="26">
        <f t="shared" si="64"/>
        <v>45212.063999999998</v>
      </c>
      <c r="T237" s="27">
        <v>0</v>
      </c>
      <c r="U237" s="61"/>
      <c r="V237" s="62"/>
      <c r="W237" s="63">
        <f t="shared" si="61"/>
        <v>83323.28</v>
      </c>
      <c r="X237" s="45"/>
    </row>
    <row r="238" spans="1:24" ht="24.95" customHeight="1">
      <c r="A238" s="1">
        <v>3</v>
      </c>
      <c r="B238" s="24">
        <v>1324100410</v>
      </c>
      <c r="C238" s="25" t="str">
        <f t="shared" si="62"/>
        <v>410</v>
      </c>
      <c r="D238" s="25" t="str">
        <f t="shared" si="63"/>
        <v>324100</v>
      </c>
      <c r="E238" s="25" t="s">
        <v>242</v>
      </c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>
        <f>VLOOKUP(B:B,'[3]תקבולים 2017'!B:R,15,0)</f>
        <v>0</v>
      </c>
      <c r="Q238" s="26">
        <f>-VLOOKUP(B:B,'[3]דוח כספי 10.17 מעודכן'!A:D,4,0)</f>
        <v>140</v>
      </c>
      <c r="R238" s="26">
        <f>VLOOKUP(B:B,'[3]תקבולים 2017'!B:T,17,0)</f>
        <v>1000</v>
      </c>
      <c r="S238" s="26">
        <f t="shared" si="64"/>
        <v>168</v>
      </c>
      <c r="T238" s="27">
        <v>1000</v>
      </c>
      <c r="U238" s="12"/>
      <c r="V238" s="22"/>
      <c r="W238" s="23">
        <f t="shared" si="61"/>
        <v>-140</v>
      </c>
      <c r="X238" s="45"/>
    </row>
    <row r="239" spans="1:24" ht="24.95" hidden="1" customHeight="1">
      <c r="A239" s="1">
        <v>8</v>
      </c>
      <c r="B239" s="24">
        <v>1324100920</v>
      </c>
      <c r="C239" s="25" t="str">
        <f t="shared" si="62"/>
        <v>920</v>
      </c>
      <c r="D239" s="25" t="str">
        <f t="shared" si="63"/>
        <v>324100</v>
      </c>
      <c r="E239" s="25" t="s">
        <v>243</v>
      </c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>
        <f>VLOOKUP(B:B,'[3]תקבולים 2017'!B:R,15,0)</f>
        <v>0</v>
      </c>
      <c r="Q239" s="26">
        <f>-VLOOKUP(B:B,'[3]דוח כספי 10.17 מעודכן'!A:D,4,0)</f>
        <v>0</v>
      </c>
      <c r="R239" s="26">
        <f>VLOOKUP(B:B,'[3]תקבולים 2017'!B:T,17,0)</f>
        <v>0</v>
      </c>
      <c r="S239" s="26">
        <f t="shared" si="64"/>
        <v>0</v>
      </c>
      <c r="T239" s="27">
        <v>0</v>
      </c>
      <c r="U239" s="12"/>
      <c r="V239" s="22"/>
      <c r="W239" s="23">
        <f t="shared" si="61"/>
        <v>0</v>
      </c>
      <c r="X239" s="45"/>
    </row>
    <row r="240" spans="1:24" ht="24.95" hidden="1" customHeight="1">
      <c r="A240" s="1">
        <v>3</v>
      </c>
      <c r="B240" s="24">
        <v>1328000810</v>
      </c>
      <c r="C240" s="25" t="str">
        <f t="shared" si="62"/>
        <v>810</v>
      </c>
      <c r="D240" s="25" t="str">
        <f t="shared" si="63"/>
        <v>328000</v>
      </c>
      <c r="E240" s="25" t="s">
        <v>244</v>
      </c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>
        <f>VLOOKUP(B:B,'[3]תקבולים 2017'!B:R,15,0)</f>
        <v>0</v>
      </c>
      <c r="Q240" s="26">
        <f>-VLOOKUP(B:B,'[3]דוח כספי 10.17 מעודכן'!A:D,4,0)</f>
        <v>0</v>
      </c>
      <c r="R240" s="26">
        <f>VLOOKUP(B:B,'[3]תקבולים 2017'!B:T,17,0)</f>
        <v>0</v>
      </c>
      <c r="S240" s="26">
        <f t="shared" si="64"/>
        <v>0</v>
      </c>
      <c r="T240" s="27">
        <v>0</v>
      </c>
      <c r="U240" s="12"/>
      <c r="V240" s="22"/>
      <c r="W240" s="23">
        <f t="shared" si="61"/>
        <v>0</v>
      </c>
      <c r="X240" s="45"/>
    </row>
    <row r="241" spans="1:24" ht="24.95" customHeight="1">
      <c r="A241" s="1">
        <v>8</v>
      </c>
      <c r="B241" s="24">
        <v>1328000920</v>
      </c>
      <c r="C241" s="25" t="str">
        <f t="shared" si="62"/>
        <v>920</v>
      </c>
      <c r="D241" s="25" t="str">
        <f t="shared" si="63"/>
        <v>328000</v>
      </c>
      <c r="E241" s="25" t="s">
        <v>245</v>
      </c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>
        <f>VLOOKUP(B:B,'[3]תקבולים 2017'!B:R,15,0)</f>
        <v>89000</v>
      </c>
      <c r="Q241" s="26">
        <f>-VLOOKUP(B:B,'[3]דוח כספי 10.17 מעודכן'!A:D,4,0)</f>
        <v>0</v>
      </c>
      <c r="R241" s="26">
        <f>VLOOKUP(B:B,'[3]תקבולים 2017'!B:T,17,0)</f>
        <v>0</v>
      </c>
      <c r="S241" s="26">
        <f t="shared" si="64"/>
        <v>0</v>
      </c>
      <c r="T241" s="27">
        <v>0</v>
      </c>
      <c r="U241" s="12"/>
      <c r="V241" s="22"/>
      <c r="W241" s="23">
        <f t="shared" si="61"/>
        <v>89000</v>
      </c>
      <c r="X241" s="45"/>
    </row>
    <row r="242" spans="1:24" ht="24.95" customHeight="1">
      <c r="A242" s="1">
        <v>3</v>
      </c>
      <c r="B242" s="24">
        <v>1329000420</v>
      </c>
      <c r="C242" s="25" t="str">
        <f t="shared" si="62"/>
        <v>420</v>
      </c>
      <c r="D242" s="25" t="str">
        <f t="shared" si="63"/>
        <v>329000</v>
      </c>
      <c r="E242" s="25" t="s">
        <v>246</v>
      </c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>
        <f>VLOOKUP(B:B,'[3]תקבולים 2017'!B:R,15,0)</f>
        <v>14000</v>
      </c>
      <c r="Q242" s="26">
        <f>-VLOOKUP(B:B,'[3]דוח כספי 10.17 מעודכן'!A:D,4,0)</f>
        <v>15820</v>
      </c>
      <c r="R242" s="26">
        <f>VLOOKUP(B:B,'[3]תקבולים 2017'!B:T,17,0)</f>
        <v>19000</v>
      </c>
      <c r="S242" s="26">
        <f t="shared" si="64"/>
        <v>18984</v>
      </c>
      <c r="T242" s="27">
        <v>19000</v>
      </c>
      <c r="U242" s="12"/>
      <c r="V242" s="22"/>
      <c r="W242" s="23">
        <f t="shared" si="61"/>
        <v>-1820</v>
      </c>
      <c r="X242" s="45"/>
    </row>
    <row r="243" spans="1:24" ht="24.95" customHeight="1">
      <c r="A243" s="1">
        <v>8</v>
      </c>
      <c r="B243" s="24">
        <v>1329000920</v>
      </c>
      <c r="C243" s="25" t="str">
        <f t="shared" si="62"/>
        <v>920</v>
      </c>
      <c r="D243" s="25" t="str">
        <f t="shared" si="63"/>
        <v>329000</v>
      </c>
      <c r="E243" s="25" t="s">
        <v>247</v>
      </c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>
        <f>VLOOKUP(B:B,'[3]תקבולים 2017'!B:R,15,0)</f>
        <v>0</v>
      </c>
      <c r="Q243" s="26">
        <f>-VLOOKUP(B:B,'[3]דוח כספי 10.17 מעודכן'!A:D,4,0)</f>
        <v>30000</v>
      </c>
      <c r="R243" s="26">
        <f>VLOOKUP(B:B,'[3]תקבולים 2017'!B:T,17,0)</f>
        <v>36000</v>
      </c>
      <c r="S243" s="26">
        <f t="shared" si="64"/>
        <v>36000</v>
      </c>
      <c r="T243" s="27">
        <v>36000</v>
      </c>
      <c r="U243" s="12"/>
      <c r="V243" s="22"/>
      <c r="W243" s="23">
        <f t="shared" si="61"/>
        <v>-30000</v>
      </c>
      <c r="X243" s="45"/>
    </row>
    <row r="244" spans="1:24" ht="24.95" hidden="1" customHeight="1">
      <c r="A244" s="1">
        <v>3</v>
      </c>
      <c r="B244" s="24">
        <v>1329900710</v>
      </c>
      <c r="C244" s="25" t="str">
        <f t="shared" si="62"/>
        <v>710</v>
      </c>
      <c r="D244" s="25" t="str">
        <f t="shared" si="63"/>
        <v>329900</v>
      </c>
      <c r="E244" s="25" t="s">
        <v>248</v>
      </c>
      <c r="F244" s="26">
        <v>5000</v>
      </c>
      <c r="G244" s="26"/>
      <c r="H244" s="26">
        <f>G244*12/10</f>
        <v>0</v>
      </c>
      <c r="I244" s="26">
        <f>H244</f>
        <v>0</v>
      </c>
      <c r="J244" s="26" t="e">
        <f>VLOOKUP(B244,#REF!,6,0)</f>
        <v>#REF!</v>
      </c>
      <c r="K244" s="26">
        <v>30000</v>
      </c>
      <c r="L244" s="26">
        <v>30000</v>
      </c>
      <c r="M244" s="26">
        <v>40000</v>
      </c>
      <c r="N244" s="26">
        <f>40000+150000</f>
        <v>190000</v>
      </c>
      <c r="O244" s="26" t="e">
        <f>VLOOKUP(B244,[3]כספי!$A$1:$E$324,5,0)</f>
        <v>#N/A</v>
      </c>
      <c r="P244" s="26">
        <f>VLOOKUP(B:B,'[3]תקבולים 2017'!B:R,15,0)</f>
        <v>0</v>
      </c>
      <c r="Q244" s="26">
        <f>-VLOOKUP(B:B,'[3]דוח כספי 10.17 מעודכן'!A:D,4,0)</f>
        <v>0</v>
      </c>
      <c r="R244" s="26">
        <f>VLOOKUP(B:B,'[3]תקבולים 2017'!B:T,17,0)</f>
        <v>0</v>
      </c>
      <c r="S244" s="26">
        <f t="shared" si="64"/>
        <v>0</v>
      </c>
      <c r="T244" s="27">
        <v>0</v>
      </c>
      <c r="U244" s="12">
        <f>IF(ISBLANK(B244),1,--OR(L244&gt;1,M244&gt;1,N244&gt;1))</f>
        <v>1</v>
      </c>
      <c r="V244" s="22">
        <f>+Q244-N244</f>
        <v>-190000</v>
      </c>
      <c r="W244" s="23">
        <f t="shared" si="61"/>
        <v>0</v>
      </c>
      <c r="X244" s="45"/>
    </row>
    <row r="245" spans="1:24" ht="24.95" customHeight="1">
      <c r="A245" s="1">
        <v>3</v>
      </c>
      <c r="B245" s="24">
        <v>1329910710</v>
      </c>
      <c r="C245" s="25" t="str">
        <f t="shared" si="62"/>
        <v>710</v>
      </c>
      <c r="D245" s="25" t="str">
        <f t="shared" si="63"/>
        <v>329910</v>
      </c>
      <c r="E245" s="25" t="s">
        <v>236</v>
      </c>
      <c r="F245" s="26"/>
      <c r="G245" s="26"/>
      <c r="H245" s="26"/>
      <c r="I245" s="26">
        <v>50000</v>
      </c>
      <c r="J245" s="26" t="e">
        <f>VLOOKUP(B245,#REF!,6,0)</f>
        <v>#REF!</v>
      </c>
      <c r="K245" s="26" t="e">
        <f>+J245*1.71428571428571</f>
        <v>#REF!</v>
      </c>
      <c r="L245" s="26">
        <v>50000</v>
      </c>
      <c r="M245" s="26">
        <v>0</v>
      </c>
      <c r="N245" s="26">
        <v>0</v>
      </c>
      <c r="O245" s="26" t="e">
        <f>VLOOKUP(B245,[3]כספי!$A$1:$E$324,5,0)</f>
        <v>#N/A</v>
      </c>
      <c r="P245" s="26">
        <f>VLOOKUP(B:B,'[3]תקבולים 2017'!B:R,15,0)</f>
        <v>85000</v>
      </c>
      <c r="Q245" s="26">
        <f>-VLOOKUP(B:B,'[3]דוח כספי 10.17 מעודכן'!A:D,4,0)</f>
        <v>0</v>
      </c>
      <c r="R245" s="26">
        <f>VLOOKUP(B:B,'[3]תקבולים 2017'!B:T,17,0)</f>
        <v>0</v>
      </c>
      <c r="S245" s="26">
        <f t="shared" si="64"/>
        <v>0</v>
      </c>
      <c r="T245" s="27">
        <v>0</v>
      </c>
      <c r="U245" s="12">
        <f>IF(ISBLANK(B245),1,--OR(L245&gt;1,M245&gt;1,N245&gt;1))</f>
        <v>1</v>
      </c>
      <c r="V245" s="22">
        <f>+Q245-N245</f>
        <v>0</v>
      </c>
      <c r="W245" s="23">
        <f t="shared" si="61"/>
        <v>85000</v>
      </c>
      <c r="X245" s="45"/>
    </row>
    <row r="246" spans="1:24" ht="24.95" customHeight="1">
      <c r="B246" s="32"/>
      <c r="C246" s="33"/>
      <c r="D246" s="33"/>
      <c r="E246" s="33" t="s">
        <v>249</v>
      </c>
      <c r="F246" s="34">
        <f t="shared" ref="F246:K246" si="65">SUM(F235:F245)</f>
        <v>35000</v>
      </c>
      <c r="G246" s="34">
        <f t="shared" si="65"/>
        <v>8716.67</v>
      </c>
      <c r="H246" s="34">
        <f t="shared" si="65"/>
        <v>70000</v>
      </c>
      <c r="I246" s="34">
        <f t="shared" si="65"/>
        <v>210000</v>
      </c>
      <c r="J246" s="34" t="e">
        <f t="shared" si="65"/>
        <v>#REF!</v>
      </c>
      <c r="K246" s="34" t="e">
        <f t="shared" si="65"/>
        <v>#REF!</v>
      </c>
      <c r="L246" s="34">
        <f t="shared" ref="L246:S246" si="66">SUM(L233:L245)</f>
        <v>292000</v>
      </c>
      <c r="M246" s="34">
        <f t="shared" si="66"/>
        <v>230085</v>
      </c>
      <c r="N246" s="34">
        <f t="shared" si="66"/>
        <v>202000</v>
      </c>
      <c r="O246" s="34" t="e">
        <f t="shared" si="66"/>
        <v>#N/A</v>
      </c>
      <c r="P246" s="34">
        <f t="shared" si="66"/>
        <v>485000</v>
      </c>
      <c r="Q246" s="34">
        <f t="shared" si="66"/>
        <v>141594.72</v>
      </c>
      <c r="R246" s="34">
        <f t="shared" si="66"/>
        <v>159000</v>
      </c>
      <c r="S246" s="34">
        <f t="shared" si="66"/>
        <v>169913.66399999999</v>
      </c>
      <c r="T246" s="35">
        <f>SUM(T233:T245)</f>
        <v>127000</v>
      </c>
      <c r="U246" s="12">
        <f t="shared" ref="U246:U251" si="67">IF(ISBLANK(B246),1,--OR(L246&gt;1,M246&gt;1,N246&gt;1))</f>
        <v>1</v>
      </c>
      <c r="V246" s="22">
        <f>+Q246-N246</f>
        <v>-60405.279999999999</v>
      </c>
      <c r="W246" s="23">
        <f t="shared" si="61"/>
        <v>343405.28</v>
      </c>
      <c r="X246" s="43"/>
    </row>
    <row r="247" spans="1:24" ht="24.95" customHeight="1">
      <c r="B247" s="36"/>
      <c r="C247" s="37" t="s">
        <v>250</v>
      </c>
      <c r="D247" s="37"/>
      <c r="E247" s="37"/>
      <c r="F247" s="37"/>
      <c r="G247" s="37"/>
      <c r="H247" s="37"/>
      <c r="I247" s="38"/>
      <c r="J247" s="20">
        <v>0</v>
      </c>
      <c r="K247" s="20"/>
      <c r="L247" s="20"/>
      <c r="M247" s="20"/>
      <c r="N247" s="20"/>
      <c r="O247" s="20"/>
      <c r="P247" s="20"/>
      <c r="Q247" s="20"/>
      <c r="R247" s="20"/>
      <c r="S247" s="20"/>
      <c r="T247" s="21"/>
      <c r="U247" s="12">
        <f t="shared" si="67"/>
        <v>1</v>
      </c>
      <c r="V247" s="22">
        <f>+Q247-N247</f>
        <v>0</v>
      </c>
      <c r="W247" s="23">
        <f t="shared" si="61"/>
        <v>0</v>
      </c>
      <c r="X247" s="45"/>
    </row>
    <row r="248" spans="1:24" ht="24.95" customHeight="1">
      <c r="A248" s="1">
        <v>8</v>
      </c>
      <c r="B248" s="18">
        <v>1332300940</v>
      </c>
      <c r="C248" s="19" t="str">
        <f>MID(B248,8,3)</f>
        <v>940</v>
      </c>
      <c r="D248" s="19" t="str">
        <f>MID(B248,2,6)</f>
        <v>332300</v>
      </c>
      <c r="E248" s="19" t="s">
        <v>251</v>
      </c>
      <c r="F248" s="20">
        <v>20000</v>
      </c>
      <c r="G248" s="20"/>
      <c r="H248" s="20">
        <f>G248*12/10</f>
        <v>0</v>
      </c>
      <c r="I248" s="20">
        <f>H248</f>
        <v>0</v>
      </c>
      <c r="J248" s="20">
        <v>0</v>
      </c>
      <c r="K248" s="20">
        <f>+J248*1.71428571428571</f>
        <v>0</v>
      </c>
      <c r="L248" s="20">
        <v>0</v>
      </c>
      <c r="M248" s="20">
        <v>0</v>
      </c>
      <c r="N248" s="20">
        <v>0</v>
      </c>
      <c r="O248" s="69"/>
      <c r="P248" s="20">
        <f>VLOOKUP(B:B,'[3]תקבולים 2017'!B:R,15,0)</f>
        <v>101000</v>
      </c>
      <c r="Q248" s="20">
        <f>-VLOOKUP(B:B,'[3]דוח כספי 10.17 מעודכן'!A:D,4,0)</f>
        <v>48797.5</v>
      </c>
      <c r="R248" s="20">
        <f>VLOOKUP(B:B,'[3]תקבולים 2017'!B:T,17,0)</f>
        <v>59000</v>
      </c>
      <c r="S248" s="20">
        <f>Q248/10*12</f>
        <v>58557</v>
      </c>
      <c r="T248" s="21">
        <v>60000</v>
      </c>
      <c r="U248" s="12">
        <f t="shared" si="67"/>
        <v>0</v>
      </c>
      <c r="W248" s="23">
        <f t="shared" si="61"/>
        <v>52202.5</v>
      </c>
      <c r="X248" s="45"/>
    </row>
    <row r="249" spans="1:24" ht="24.95" customHeight="1">
      <c r="B249" s="32"/>
      <c r="C249" s="33"/>
      <c r="D249" s="33"/>
      <c r="E249" s="33" t="s">
        <v>252</v>
      </c>
      <c r="F249" s="34">
        <f>SUM(F248)</f>
        <v>20000</v>
      </c>
      <c r="G249" s="34">
        <f>SUM(G248)</f>
        <v>0</v>
      </c>
      <c r="H249" s="34">
        <f>SUM(H248)</f>
        <v>0</v>
      </c>
      <c r="I249" s="34">
        <f>SUM(I248)</f>
        <v>0</v>
      </c>
      <c r="J249" s="34">
        <f>SUM(J248)</f>
        <v>0</v>
      </c>
      <c r="K249" s="34">
        <f t="shared" ref="K249:R249" si="68">SUM(K248)</f>
        <v>0</v>
      </c>
      <c r="L249" s="34">
        <f t="shared" si="68"/>
        <v>0</v>
      </c>
      <c r="M249" s="34">
        <f t="shared" si="68"/>
        <v>0</v>
      </c>
      <c r="N249" s="34">
        <f t="shared" si="68"/>
        <v>0</v>
      </c>
      <c r="O249" s="34">
        <f t="shared" si="68"/>
        <v>0</v>
      </c>
      <c r="P249" s="34">
        <f t="shared" si="68"/>
        <v>101000</v>
      </c>
      <c r="Q249" s="34">
        <f t="shared" si="68"/>
        <v>48797.5</v>
      </c>
      <c r="R249" s="34">
        <f t="shared" si="68"/>
        <v>59000</v>
      </c>
      <c r="S249" s="34">
        <f>SUM(S248)</f>
        <v>58557</v>
      </c>
      <c r="T249" s="35">
        <f>SUM(T248)</f>
        <v>60000</v>
      </c>
      <c r="U249" s="12">
        <f t="shared" si="67"/>
        <v>1</v>
      </c>
      <c r="V249" s="22">
        <f>+Q249-N249</f>
        <v>48797.5</v>
      </c>
      <c r="W249" s="23">
        <f t="shared" si="61"/>
        <v>52202.5</v>
      </c>
      <c r="X249" s="43"/>
    </row>
    <row r="250" spans="1:24" ht="24.95" customHeight="1">
      <c r="B250" s="36"/>
      <c r="C250" s="37" t="s">
        <v>253</v>
      </c>
      <c r="D250" s="37"/>
      <c r="E250" s="37"/>
      <c r="F250" s="37"/>
      <c r="G250" s="37"/>
      <c r="H250" s="37"/>
      <c r="I250" s="38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1"/>
      <c r="U250" s="12">
        <f t="shared" si="67"/>
        <v>1</v>
      </c>
      <c r="V250" s="22">
        <f>+Q250-N250</f>
        <v>0</v>
      </c>
      <c r="W250" s="23">
        <f t="shared" si="61"/>
        <v>0</v>
      </c>
      <c r="X250" s="45"/>
    </row>
    <row r="251" spans="1:24" ht="24.95" customHeight="1">
      <c r="A251" s="1">
        <v>12</v>
      </c>
      <c r="B251" s="24">
        <v>1341000930</v>
      </c>
      <c r="C251" s="25" t="str">
        <f>MID(B251,8,3)</f>
        <v>930</v>
      </c>
      <c r="D251" s="25" t="str">
        <f>MID(B251,2,6)</f>
        <v>341000</v>
      </c>
      <c r="E251" s="25" t="s">
        <v>254</v>
      </c>
      <c r="F251" s="26">
        <v>631000</v>
      </c>
      <c r="G251" s="26">
        <v>535731</v>
      </c>
      <c r="H251" s="26">
        <f>G251*12/10</f>
        <v>642877.19999999995</v>
      </c>
      <c r="I251" s="26">
        <v>650000</v>
      </c>
      <c r="J251" s="26" t="e">
        <f>VLOOKUP(B251,#REF!,6,0)</f>
        <v>#REF!</v>
      </c>
      <c r="K251" s="26" t="e">
        <f>+J251*1.71428571428571</f>
        <v>#REF!</v>
      </c>
      <c r="L251" s="26">
        <v>650000</v>
      </c>
      <c r="M251" s="26">
        <v>650000</v>
      </c>
      <c r="N251" s="26">
        <v>650000</v>
      </c>
      <c r="O251" s="44">
        <f>VLOOKUP(B251,[3]כספי!$A$1:$E$324,5,0)</f>
        <v>309547</v>
      </c>
      <c r="P251" s="26">
        <f>VLOOKUP(B:B,'[3]תקבולים 2017'!B:R,15,0)</f>
        <v>964000</v>
      </c>
      <c r="Q251" s="26">
        <f>-VLOOKUP(B:B,'[3]דוח כספי 10.17 מעודכן'!A:D,4,0)</f>
        <v>797683</v>
      </c>
      <c r="R251" s="26">
        <f>VLOOKUP(B:B,'[3]תקבולים 2017'!B:T,17,0)</f>
        <v>957000</v>
      </c>
      <c r="S251" s="26">
        <f>Q251/10*12</f>
        <v>957219.60000000009</v>
      </c>
      <c r="T251" s="27">
        <v>958000</v>
      </c>
      <c r="U251" s="46">
        <f t="shared" si="67"/>
        <v>1</v>
      </c>
      <c r="V251" s="47">
        <f>+Q251-N251</f>
        <v>147683</v>
      </c>
      <c r="W251" s="48">
        <f t="shared" si="61"/>
        <v>166317</v>
      </c>
      <c r="X251" s="45" t="s">
        <v>186</v>
      </c>
    </row>
    <row r="252" spans="1:24" ht="24.95" customHeight="1">
      <c r="A252" s="1">
        <v>12</v>
      </c>
      <c r="B252" s="18">
        <v>1341100930</v>
      </c>
      <c r="C252" s="19" t="str">
        <f>MID(B252,8,3)</f>
        <v>930</v>
      </c>
      <c r="D252" s="19" t="str">
        <f>MID(B252,2,6)</f>
        <v>341100</v>
      </c>
      <c r="E252" s="19" t="s">
        <v>255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>
        <f>VLOOKUP(B:B,'[3]תקבולים 2017'!B:R,15,0)</f>
        <v>4000</v>
      </c>
      <c r="Q252" s="20">
        <f>-VLOOKUP(B:B,'[3]דוח כספי 10.17 מעודכן'!A:D,4,0)</f>
        <v>0</v>
      </c>
      <c r="R252" s="20">
        <f>VLOOKUP(B:B,'[3]תקבולים 2017'!B:T,17,0)</f>
        <v>0</v>
      </c>
      <c r="S252" s="20">
        <f>Q252/10*12</f>
        <v>0</v>
      </c>
      <c r="T252" s="21">
        <v>0</v>
      </c>
      <c r="U252" s="12"/>
      <c r="V252" s="22"/>
      <c r="W252" s="23">
        <f t="shared" si="61"/>
        <v>4000</v>
      </c>
      <c r="X252" s="45"/>
    </row>
    <row r="253" spans="1:24" ht="24.95" hidden="1" customHeight="1">
      <c r="A253" s="1">
        <v>12</v>
      </c>
      <c r="B253" s="18">
        <v>1341200930</v>
      </c>
      <c r="C253" s="19" t="str">
        <f>MID(B253,8,3)</f>
        <v>930</v>
      </c>
      <c r="D253" s="19" t="str">
        <f>MID(B253,2,6)</f>
        <v>341200</v>
      </c>
      <c r="E253" s="19" t="s">
        <v>256</v>
      </c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>
        <f>VLOOKUP(B:B,'[3]תקבולים 2017'!B:R,15,0)</f>
        <v>0</v>
      </c>
      <c r="Q253" s="20">
        <f>-VLOOKUP(B:B,'[3]דוח כספי 10.17 מעודכן'!A:D,4,0)</f>
        <v>0</v>
      </c>
      <c r="R253" s="20">
        <f>VLOOKUP(B:B,'[3]תקבולים 2017'!B:T,17,0)</f>
        <v>0</v>
      </c>
      <c r="S253" s="20">
        <f>Q253/10*12</f>
        <v>0</v>
      </c>
      <c r="T253" s="21">
        <v>0</v>
      </c>
      <c r="U253" s="12"/>
      <c r="V253" s="22"/>
      <c r="W253" s="23">
        <f t="shared" si="61"/>
        <v>0</v>
      </c>
      <c r="X253" s="45"/>
    </row>
    <row r="254" spans="1:24" ht="24.95" customHeight="1">
      <c r="B254" s="28"/>
      <c r="C254" s="29"/>
      <c r="D254" s="29"/>
      <c r="E254" s="29" t="s">
        <v>257</v>
      </c>
      <c r="F254" s="30">
        <f t="shared" ref="F254:O254" si="69">SUM(F251:F251)</f>
        <v>631000</v>
      </c>
      <c r="G254" s="30">
        <f t="shared" si="69"/>
        <v>535731</v>
      </c>
      <c r="H254" s="30">
        <f t="shared" si="69"/>
        <v>642877.19999999995</v>
      </c>
      <c r="I254" s="30">
        <f t="shared" si="69"/>
        <v>650000</v>
      </c>
      <c r="J254" s="30" t="e">
        <f t="shared" si="69"/>
        <v>#REF!</v>
      </c>
      <c r="K254" s="30" t="e">
        <f t="shared" si="69"/>
        <v>#REF!</v>
      </c>
      <c r="L254" s="30">
        <f t="shared" si="69"/>
        <v>650000</v>
      </c>
      <c r="M254" s="30">
        <f t="shared" si="69"/>
        <v>650000</v>
      </c>
      <c r="N254" s="30">
        <f t="shared" si="69"/>
        <v>650000</v>
      </c>
      <c r="O254" s="30">
        <f t="shared" si="69"/>
        <v>309547</v>
      </c>
      <c r="P254" s="30">
        <f t="shared" ref="P254:S254" si="70">SUM(P251:P253)</f>
        <v>968000</v>
      </c>
      <c r="Q254" s="30">
        <f t="shared" si="70"/>
        <v>797683</v>
      </c>
      <c r="R254" s="30">
        <f t="shared" si="70"/>
        <v>957000</v>
      </c>
      <c r="S254" s="30">
        <f t="shared" si="70"/>
        <v>957219.60000000009</v>
      </c>
      <c r="T254" s="31">
        <f>SUM(T251:T253)</f>
        <v>958000</v>
      </c>
      <c r="U254" s="12">
        <f>IF(ISBLANK(B254),1,--OR(L254&gt;1,M254&gt;1,N254&gt;1))</f>
        <v>1</v>
      </c>
      <c r="V254" s="22">
        <f>+Q254-N254</f>
        <v>147683</v>
      </c>
      <c r="W254" s="23">
        <f t="shared" si="61"/>
        <v>170317</v>
      </c>
      <c r="X254" s="43"/>
    </row>
    <row r="255" spans="1:24" ht="24.95" customHeight="1">
      <c r="A255" s="1">
        <v>12</v>
      </c>
      <c r="B255" s="24">
        <v>1342001930</v>
      </c>
      <c r="C255" s="25" t="str">
        <f t="shared" ref="C255:C271" si="71">MID(B255,8,3)</f>
        <v>930</v>
      </c>
      <c r="D255" s="25" t="str">
        <f t="shared" ref="D255:D271" si="72">MID(B255,2,6)</f>
        <v>342001</v>
      </c>
      <c r="E255" s="25" t="s">
        <v>258</v>
      </c>
      <c r="F255" s="26"/>
      <c r="G255" s="26"/>
      <c r="H255" s="26"/>
      <c r="I255" s="26"/>
      <c r="J255" s="26"/>
      <c r="K255" s="26"/>
      <c r="L255" s="26"/>
      <c r="M255" s="26"/>
      <c r="N255" s="26"/>
      <c r="O255" s="44"/>
      <c r="P255" s="26">
        <v>0</v>
      </c>
      <c r="Q255" s="26">
        <v>0</v>
      </c>
      <c r="R255" s="26">
        <v>0</v>
      </c>
      <c r="S255" s="26">
        <v>0</v>
      </c>
      <c r="T255" s="27">
        <v>162000</v>
      </c>
      <c r="U255" s="46"/>
      <c r="V255" s="47"/>
      <c r="W255" s="48"/>
      <c r="X255" s="45">
        <v>1342220930</v>
      </c>
    </row>
    <row r="256" spans="1:24" ht="24.95" customHeight="1">
      <c r="A256" s="1">
        <v>12</v>
      </c>
      <c r="B256" s="24">
        <v>1342003930</v>
      </c>
      <c r="C256" s="25" t="str">
        <f t="shared" si="71"/>
        <v>930</v>
      </c>
      <c r="D256" s="25" t="str">
        <f t="shared" si="72"/>
        <v>342003</v>
      </c>
      <c r="E256" s="25" t="s">
        <v>259</v>
      </c>
      <c r="F256" s="26"/>
      <c r="G256" s="26"/>
      <c r="H256" s="26"/>
      <c r="I256" s="26"/>
      <c r="J256" s="26"/>
      <c r="K256" s="26"/>
      <c r="L256" s="26"/>
      <c r="M256" s="26"/>
      <c r="N256" s="26"/>
      <c r="O256" s="44"/>
      <c r="P256" s="26">
        <v>0</v>
      </c>
      <c r="Q256" s="26">
        <v>0</v>
      </c>
      <c r="R256" s="26">
        <v>0</v>
      </c>
      <c r="S256" s="26">
        <v>0</v>
      </c>
      <c r="T256" s="27">
        <v>30000</v>
      </c>
      <c r="U256" s="46"/>
      <c r="V256" s="47"/>
      <c r="W256" s="48"/>
      <c r="X256" s="45">
        <v>1347100930</v>
      </c>
    </row>
    <row r="257" spans="1:24" ht="24.95" customHeight="1">
      <c r="A257" s="1">
        <v>12</v>
      </c>
      <c r="B257" s="24">
        <v>1342004930</v>
      </c>
      <c r="C257" s="25" t="str">
        <f t="shared" si="71"/>
        <v>930</v>
      </c>
      <c r="D257" s="25" t="str">
        <f t="shared" si="72"/>
        <v>342004</v>
      </c>
      <c r="E257" s="25" t="s">
        <v>260</v>
      </c>
      <c r="F257" s="26"/>
      <c r="G257" s="26"/>
      <c r="H257" s="26"/>
      <c r="I257" s="26"/>
      <c r="J257" s="26"/>
      <c r="K257" s="26"/>
      <c r="L257" s="26"/>
      <c r="M257" s="26"/>
      <c r="N257" s="26"/>
      <c r="O257" s="44"/>
      <c r="P257" s="26">
        <v>0</v>
      </c>
      <c r="Q257" s="26">
        <v>0</v>
      </c>
      <c r="R257" s="26">
        <v>0</v>
      </c>
      <c r="S257" s="26">
        <v>0</v>
      </c>
      <c r="T257" s="27">
        <v>30000</v>
      </c>
      <c r="U257" s="46"/>
      <c r="V257" s="47"/>
      <c r="W257" s="48"/>
      <c r="X257" s="45">
        <v>1342200930</v>
      </c>
    </row>
    <row r="258" spans="1:24" ht="24.95" customHeight="1">
      <c r="A258" s="1">
        <v>12</v>
      </c>
      <c r="B258" s="24">
        <v>1342005930</v>
      </c>
      <c r="C258" s="25" t="str">
        <f t="shared" si="71"/>
        <v>930</v>
      </c>
      <c r="D258" s="25" t="str">
        <f t="shared" si="72"/>
        <v>342005</v>
      </c>
      <c r="E258" s="25" t="s">
        <v>261</v>
      </c>
      <c r="F258" s="26"/>
      <c r="G258" s="26"/>
      <c r="H258" s="26"/>
      <c r="I258" s="26"/>
      <c r="J258" s="26"/>
      <c r="K258" s="26"/>
      <c r="L258" s="26"/>
      <c r="M258" s="26"/>
      <c r="N258" s="26"/>
      <c r="O258" s="44"/>
      <c r="P258" s="26">
        <v>0</v>
      </c>
      <c r="Q258" s="26">
        <v>0</v>
      </c>
      <c r="R258" s="26">
        <v>0</v>
      </c>
      <c r="S258" s="26">
        <v>0</v>
      </c>
      <c r="T258" s="27">
        <v>43000</v>
      </c>
      <c r="U258" s="46"/>
      <c r="V258" s="47"/>
      <c r="W258" s="48"/>
      <c r="X258" s="45">
        <v>1342220930</v>
      </c>
    </row>
    <row r="259" spans="1:24" ht="24.95" customHeight="1">
      <c r="A259" s="1">
        <v>12</v>
      </c>
      <c r="B259" s="24">
        <v>1342008930</v>
      </c>
      <c r="C259" s="25" t="str">
        <f t="shared" si="71"/>
        <v>930</v>
      </c>
      <c r="D259" s="25" t="str">
        <f t="shared" si="72"/>
        <v>342008</v>
      </c>
      <c r="E259" s="25" t="s">
        <v>262</v>
      </c>
      <c r="F259" s="26"/>
      <c r="G259" s="26"/>
      <c r="H259" s="26"/>
      <c r="I259" s="26"/>
      <c r="J259" s="26"/>
      <c r="K259" s="26"/>
      <c r="L259" s="26"/>
      <c r="M259" s="26"/>
      <c r="N259" s="26"/>
      <c r="O259" s="44"/>
      <c r="P259" s="26">
        <v>0</v>
      </c>
      <c r="Q259" s="26">
        <v>0</v>
      </c>
      <c r="R259" s="26">
        <v>0</v>
      </c>
      <c r="S259" s="26">
        <v>0</v>
      </c>
      <c r="T259" s="27">
        <v>21000</v>
      </c>
      <c r="U259" s="46"/>
      <c r="V259" s="47"/>
      <c r="W259" s="48"/>
      <c r="X259" s="45">
        <v>1342500930</v>
      </c>
    </row>
    <row r="260" spans="1:24" s="39" customFormat="1" ht="24.95" customHeight="1">
      <c r="A260" s="39">
        <v>12</v>
      </c>
      <c r="B260" s="24">
        <v>1342200930</v>
      </c>
      <c r="C260" s="25" t="str">
        <f t="shared" si="71"/>
        <v>930</v>
      </c>
      <c r="D260" s="25" t="str">
        <f t="shared" si="72"/>
        <v>342200</v>
      </c>
      <c r="E260" s="25" t="s">
        <v>260</v>
      </c>
      <c r="F260" s="26">
        <v>22000</v>
      </c>
      <c r="G260" s="26">
        <v>13081</v>
      </c>
      <c r="H260" s="26">
        <f>G260*12/10</f>
        <v>15697.2</v>
      </c>
      <c r="I260" s="26">
        <f>H260</f>
        <v>15697.2</v>
      </c>
      <c r="J260" s="26" t="e">
        <f>VLOOKUP(B260,#REF!,6,0)</f>
        <v>#REF!</v>
      </c>
      <c r="K260" s="26" t="e">
        <f>+J260*1.71428571428571</f>
        <v>#REF!</v>
      </c>
      <c r="L260" s="26">
        <v>11254</v>
      </c>
      <c r="M260" s="26">
        <v>13300</v>
      </c>
      <c r="N260" s="26">
        <v>13300</v>
      </c>
      <c r="O260" s="26">
        <f>VLOOKUP(B260,[3]כספי!$A$1:$E$324,5,0)</f>
        <v>12534</v>
      </c>
      <c r="P260" s="26">
        <f>VLOOKUP(B:B,'[3]תקבולים 2017'!B:R,15,0)</f>
        <v>79000</v>
      </c>
      <c r="Q260" s="26">
        <f>-VLOOKUP(B:B,'[3]דוח כספי 10.17 מעודכן'!A:D,4,0)</f>
        <v>139402</v>
      </c>
      <c r="R260" s="26">
        <f>VLOOKUP(B:B,'[3]תקבולים 2017'!B:T,17,0)</f>
        <v>167000</v>
      </c>
      <c r="S260" s="26">
        <f t="shared" ref="S260:S268" si="73">Q260/10*12</f>
        <v>167282.40000000002</v>
      </c>
      <c r="T260" s="27">
        <v>0</v>
      </c>
      <c r="U260" s="40">
        <f>IF(ISBLANK(B260),1,--OR(L260&gt;1,M260&gt;1,N260&gt;1))</f>
        <v>1</v>
      </c>
      <c r="V260" s="41">
        <f>+Q260-N260</f>
        <v>126102</v>
      </c>
      <c r="W260" s="42">
        <f t="shared" ref="W260:W268" si="74">P260-Q260</f>
        <v>-60402</v>
      </c>
      <c r="X260" s="45" t="s">
        <v>263</v>
      </c>
    </row>
    <row r="261" spans="1:24" s="39" customFormat="1" ht="24.95" hidden="1" customHeight="1">
      <c r="A261" s="39">
        <v>11</v>
      </c>
      <c r="B261" s="24">
        <v>1342210220</v>
      </c>
      <c r="C261" s="25" t="str">
        <f t="shared" si="71"/>
        <v>220</v>
      </c>
      <c r="D261" s="25" t="str">
        <f t="shared" si="72"/>
        <v>342210</v>
      </c>
      <c r="E261" s="25" t="s">
        <v>264</v>
      </c>
      <c r="F261" s="26"/>
      <c r="G261" s="26"/>
      <c r="H261" s="26"/>
      <c r="I261" s="26"/>
      <c r="J261" s="26"/>
      <c r="K261" s="26"/>
      <c r="L261" s="26"/>
      <c r="M261" s="26"/>
      <c r="N261" s="26"/>
      <c r="O261" s="26" t="e">
        <f>VLOOKUP(B261,[3]כספי!$A$1:$E$324,5,0)</f>
        <v>#N/A</v>
      </c>
      <c r="P261" s="26">
        <f>VLOOKUP(B:B,'[3]תקבולים 2017'!B:R,15,0)</f>
        <v>0</v>
      </c>
      <c r="Q261" s="26">
        <f>-VLOOKUP(B:B,'[3]דוח כספי 10.17 מעודכן'!A:D,4,0)</f>
        <v>0</v>
      </c>
      <c r="R261" s="26">
        <f>VLOOKUP(B:B,'[3]תקבולים 2017'!B:T,17,0)</f>
        <v>0</v>
      </c>
      <c r="S261" s="26">
        <f t="shared" si="73"/>
        <v>0</v>
      </c>
      <c r="T261" s="27">
        <v>0</v>
      </c>
      <c r="U261" s="40"/>
      <c r="V261" s="41">
        <f>+Q261-N261</f>
        <v>0</v>
      </c>
      <c r="W261" s="42">
        <f t="shared" si="74"/>
        <v>0</v>
      </c>
      <c r="X261" s="45"/>
    </row>
    <row r="262" spans="1:24" s="39" customFormat="1" ht="24.95" hidden="1" customHeight="1">
      <c r="A262" s="39">
        <v>12</v>
      </c>
      <c r="B262" s="24">
        <v>1342210930</v>
      </c>
      <c r="C262" s="25" t="str">
        <f t="shared" si="71"/>
        <v>930</v>
      </c>
      <c r="D262" s="25" t="str">
        <f t="shared" si="72"/>
        <v>342210</v>
      </c>
      <c r="E262" s="25" t="s">
        <v>265</v>
      </c>
      <c r="F262" s="26">
        <v>18000</v>
      </c>
      <c r="G262" s="26">
        <v>3297</v>
      </c>
      <c r="H262" s="26">
        <f>G262*12/10</f>
        <v>3956.4</v>
      </c>
      <c r="I262" s="26">
        <f>H262</f>
        <v>3956.4</v>
      </c>
      <c r="J262" s="26" t="e">
        <f>VLOOKUP(B262,#REF!,6,0)</f>
        <v>#REF!</v>
      </c>
      <c r="K262" s="26" t="e">
        <f>+J262*1.71428571428571</f>
        <v>#REF!</v>
      </c>
      <c r="L262" s="26">
        <v>9750</v>
      </c>
      <c r="M262" s="26">
        <v>8300</v>
      </c>
      <c r="N262" s="26">
        <v>8300</v>
      </c>
      <c r="O262" s="26" t="e">
        <f>VLOOKUP(B262,[3]כספי!$A$1:$E$324,5,0)</f>
        <v>#N/A</v>
      </c>
      <c r="P262" s="26">
        <f>VLOOKUP(B:B,'[3]תקבולים 2017'!B:R,15,0)</f>
        <v>0</v>
      </c>
      <c r="Q262" s="26">
        <f>-VLOOKUP(B:B,'[3]דוח כספי 10.17 מעודכן'!A:D,4,0)</f>
        <v>0</v>
      </c>
      <c r="R262" s="26">
        <f>VLOOKUP(B:B,'[3]תקבולים 2017'!B:T,17,0)</f>
        <v>0</v>
      </c>
      <c r="S262" s="26">
        <f t="shared" si="73"/>
        <v>0</v>
      </c>
      <c r="T262" s="27">
        <v>0</v>
      </c>
      <c r="U262" s="40">
        <f>IF(ISBLANK(B262),1,--OR(L262&gt;1,M262&gt;1,N262&gt;1))</f>
        <v>1</v>
      </c>
      <c r="V262" s="41">
        <f>+Q262-N262</f>
        <v>-8300</v>
      </c>
      <c r="W262" s="42">
        <f t="shared" si="74"/>
        <v>0</v>
      </c>
      <c r="X262" s="45"/>
    </row>
    <row r="263" spans="1:24" s="39" customFormat="1" ht="24.95" customHeight="1">
      <c r="A263" s="39">
        <v>12</v>
      </c>
      <c r="B263" s="24">
        <v>1342220930</v>
      </c>
      <c r="C263" s="25" t="str">
        <f t="shared" si="71"/>
        <v>930</v>
      </c>
      <c r="D263" s="25" t="str">
        <f t="shared" si="72"/>
        <v>342220</v>
      </c>
      <c r="E263" s="25" t="s">
        <v>261</v>
      </c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>
        <f>VLOOKUP(B:B,'[3]תקבולים 2017'!B:R,15,0)</f>
        <v>79000</v>
      </c>
      <c r="Q263" s="26">
        <f>-VLOOKUP(B:B,'[3]דוח כספי 10.17 מעודכן'!A:D,4,0)</f>
        <v>170740</v>
      </c>
      <c r="R263" s="26">
        <f>VLOOKUP(B:B,'[3]תקבולים 2017'!B:T,17,0)</f>
        <v>205000</v>
      </c>
      <c r="S263" s="26">
        <f t="shared" si="73"/>
        <v>204888</v>
      </c>
      <c r="T263" s="27">
        <v>0</v>
      </c>
      <c r="U263" s="40"/>
      <c r="V263" s="41"/>
      <c r="W263" s="42">
        <f t="shared" si="74"/>
        <v>-91740</v>
      </c>
      <c r="X263" s="45">
        <v>1342005930</v>
      </c>
    </row>
    <row r="264" spans="1:24" s="39" customFormat="1" ht="24.95" customHeight="1">
      <c r="A264" s="39">
        <v>12</v>
      </c>
      <c r="B264" s="24">
        <v>1342221930</v>
      </c>
      <c r="C264" s="25" t="str">
        <f t="shared" si="71"/>
        <v>930</v>
      </c>
      <c r="D264" s="25" t="str">
        <f t="shared" si="72"/>
        <v>342221</v>
      </c>
      <c r="E264" s="25" t="s">
        <v>266</v>
      </c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>
        <f>VLOOKUP(B:B,'[3]תקבולים 2017'!B:R,15,0)</f>
        <v>190000</v>
      </c>
      <c r="Q264" s="26">
        <f>-VLOOKUP(B:B,'[3]דוח כספי 10.17 מעודכן'!A:D,4,0)</f>
        <v>183794</v>
      </c>
      <c r="R264" s="26">
        <f>VLOOKUP(B:B,'[3]תקבולים 2017'!B:T,17,0)</f>
        <v>220000</v>
      </c>
      <c r="S264" s="26">
        <f t="shared" si="73"/>
        <v>220552.80000000002</v>
      </c>
      <c r="T264" s="27">
        <v>0</v>
      </c>
      <c r="U264" s="40"/>
      <c r="V264" s="41"/>
      <c r="W264" s="42">
        <f t="shared" si="74"/>
        <v>6206</v>
      </c>
      <c r="X264" s="45">
        <v>1341001930</v>
      </c>
    </row>
    <row r="265" spans="1:24" ht="24.95" hidden="1" customHeight="1">
      <c r="A265" s="1">
        <v>12</v>
      </c>
      <c r="B265" s="66">
        <v>1342222930</v>
      </c>
      <c r="C265" s="25" t="str">
        <f t="shared" si="71"/>
        <v>930</v>
      </c>
      <c r="D265" s="25" t="str">
        <f t="shared" si="72"/>
        <v>342222</v>
      </c>
      <c r="E265" s="25" t="s">
        <v>267</v>
      </c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>
        <f>VLOOKUP(B:B,'[3]תקבולים 2017'!B:R,15,0)</f>
        <v>0</v>
      </c>
      <c r="Q265" s="26">
        <f>-VLOOKUP(B:B,'[3]דוח כספי 10.17 מעודכן'!A:D,4,0)</f>
        <v>0</v>
      </c>
      <c r="R265" s="26">
        <f>VLOOKUP(B:B,'[3]תקבולים 2017'!B:T,17,0)</f>
        <v>0</v>
      </c>
      <c r="S265" s="26">
        <f t="shared" si="73"/>
        <v>0</v>
      </c>
      <c r="T265" s="27">
        <v>0</v>
      </c>
      <c r="U265" s="12"/>
      <c r="V265" s="22"/>
      <c r="W265" s="23">
        <f t="shared" si="74"/>
        <v>0</v>
      </c>
      <c r="X265" s="45"/>
    </row>
    <row r="266" spans="1:24" ht="24.95" customHeight="1">
      <c r="A266" s="1">
        <v>12</v>
      </c>
      <c r="B266" s="66">
        <v>1342230930</v>
      </c>
      <c r="C266" s="25" t="str">
        <f t="shared" si="71"/>
        <v>930</v>
      </c>
      <c r="D266" s="25" t="str">
        <f t="shared" si="72"/>
        <v>342230</v>
      </c>
      <c r="E266" s="25" t="s">
        <v>268</v>
      </c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>
        <f>VLOOKUP(B:B,'[3]תקבולים 2017'!B:R,15,0)</f>
        <v>144000</v>
      </c>
      <c r="Q266" s="26">
        <f>-VLOOKUP(B:B,'[3]דוח כספי 10.17 מעודכן'!A:D,4,0)</f>
        <v>0</v>
      </c>
      <c r="R266" s="26">
        <f>VLOOKUP(B:B,'[3]תקבולים 2017'!B:T,17,0)</f>
        <v>0</v>
      </c>
      <c r="S266" s="26">
        <f t="shared" si="73"/>
        <v>0</v>
      </c>
      <c r="T266" s="27">
        <v>0</v>
      </c>
      <c r="U266" s="12"/>
      <c r="V266" s="22"/>
      <c r="W266" s="23">
        <f t="shared" si="74"/>
        <v>144000</v>
      </c>
      <c r="X266" s="45"/>
    </row>
    <row r="267" spans="1:24" s="39" customFormat="1" ht="24.95" customHeight="1">
      <c r="A267" s="39">
        <v>12</v>
      </c>
      <c r="B267" s="24">
        <v>1342300930</v>
      </c>
      <c r="C267" s="25" t="str">
        <f t="shared" si="71"/>
        <v>930</v>
      </c>
      <c r="D267" s="25" t="str">
        <f t="shared" si="72"/>
        <v>342300</v>
      </c>
      <c r="E267" s="25" t="s">
        <v>269</v>
      </c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>
        <f>VLOOKUP(B:B,'[3]תקבולים 2017'!B:R,15,0)</f>
        <v>194000</v>
      </c>
      <c r="Q267" s="26">
        <f>-VLOOKUP(B:B,'[3]דוח כספי 10.17 מעודכן'!A:D,4,0)</f>
        <v>152231</v>
      </c>
      <c r="R267" s="26">
        <f>VLOOKUP(B:B,'[3]תקבולים 2017'!B:T,17,0)</f>
        <v>183000</v>
      </c>
      <c r="S267" s="26">
        <f t="shared" si="73"/>
        <v>182677.2</v>
      </c>
      <c r="T267" s="27">
        <v>0</v>
      </c>
      <c r="U267" s="40"/>
      <c r="V267" s="41"/>
      <c r="W267" s="42">
        <f t="shared" si="74"/>
        <v>41769</v>
      </c>
      <c r="X267" s="45">
        <v>1343810930</v>
      </c>
    </row>
    <row r="268" spans="1:24" s="39" customFormat="1" ht="24.95" customHeight="1">
      <c r="A268" s="39">
        <v>12</v>
      </c>
      <c r="B268" s="24">
        <v>1342500930</v>
      </c>
      <c r="C268" s="25" t="str">
        <f t="shared" si="71"/>
        <v>930</v>
      </c>
      <c r="D268" s="25" t="str">
        <f t="shared" si="72"/>
        <v>342500</v>
      </c>
      <c r="E268" s="25" t="s">
        <v>270</v>
      </c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>
        <f>VLOOKUP(B:B,'[3]תקבולים 2017'!B:R,15,0)</f>
        <v>27000</v>
      </c>
      <c r="Q268" s="26">
        <f>-VLOOKUP(B:B,'[3]דוח כספי 10.17 מעודכן'!A:D,4,0)</f>
        <v>16820</v>
      </c>
      <c r="R268" s="26">
        <f>VLOOKUP(B:B,'[3]תקבולים 2017'!B:T,17,0)</f>
        <v>20000</v>
      </c>
      <c r="S268" s="26">
        <f t="shared" si="73"/>
        <v>20184</v>
      </c>
      <c r="T268" s="27">
        <v>0</v>
      </c>
      <c r="U268" s="40"/>
      <c r="V268" s="41"/>
      <c r="W268" s="42">
        <f t="shared" si="74"/>
        <v>10180</v>
      </c>
      <c r="X268" s="45">
        <v>1342008930</v>
      </c>
    </row>
    <row r="269" spans="1:24" ht="24.95" customHeight="1">
      <c r="A269" s="1">
        <v>12</v>
      </c>
      <c r="B269" s="24">
        <v>1342501930</v>
      </c>
      <c r="C269" s="25" t="str">
        <f t="shared" si="71"/>
        <v>930</v>
      </c>
      <c r="D269" s="25" t="str">
        <f t="shared" si="72"/>
        <v>342501</v>
      </c>
      <c r="E269" s="25" t="s">
        <v>271</v>
      </c>
      <c r="F269" s="26"/>
      <c r="G269" s="26"/>
      <c r="H269" s="26"/>
      <c r="I269" s="26"/>
      <c r="J269" s="26"/>
      <c r="K269" s="26"/>
      <c r="L269" s="26"/>
      <c r="M269" s="26"/>
      <c r="N269" s="26"/>
      <c r="O269" s="44"/>
      <c r="P269" s="26">
        <v>0</v>
      </c>
      <c r="Q269" s="26">
        <v>0</v>
      </c>
      <c r="R269" s="26">
        <v>0</v>
      </c>
      <c r="S269" s="26">
        <v>0</v>
      </c>
      <c r="T269" s="27">
        <v>58000</v>
      </c>
      <c r="U269" s="46"/>
      <c r="V269" s="47"/>
      <c r="W269" s="48"/>
      <c r="X269" s="45">
        <v>1346700930</v>
      </c>
    </row>
    <row r="270" spans="1:24" ht="24.95" customHeight="1">
      <c r="A270" s="1">
        <v>12</v>
      </c>
      <c r="B270" s="66">
        <v>1342600930</v>
      </c>
      <c r="C270" s="25" t="str">
        <f t="shared" si="71"/>
        <v>930</v>
      </c>
      <c r="D270" s="25" t="str">
        <f t="shared" si="72"/>
        <v>342600</v>
      </c>
      <c r="E270" s="25" t="s">
        <v>272</v>
      </c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>
        <f>VLOOKUP(B:B,'[3]תקבולים 2017'!B:R,15,0)</f>
        <v>1333000</v>
      </c>
      <c r="Q270" s="26">
        <f>-VLOOKUP(B:B,'[3]דוח כספי 10.17 מעודכן'!A:D,4,0)</f>
        <v>216894</v>
      </c>
      <c r="R270" s="26">
        <f>VLOOKUP(B:B,'[3]תקבולים 2017'!B:T,17,0)</f>
        <v>1302000</v>
      </c>
      <c r="S270" s="26">
        <f>Q270/10*12</f>
        <v>260272.80000000002</v>
      </c>
      <c r="T270" s="27">
        <v>1302000</v>
      </c>
      <c r="U270" s="12"/>
      <c r="V270" s="22"/>
      <c r="W270" s="23">
        <f>P270-Q270</f>
        <v>1116106</v>
      </c>
      <c r="X270" s="45"/>
    </row>
    <row r="271" spans="1:24" ht="24.95" hidden="1" customHeight="1">
      <c r="A271" s="1">
        <v>12</v>
      </c>
      <c r="B271" s="70">
        <v>1342650930</v>
      </c>
      <c r="C271" s="19" t="str">
        <f t="shared" si="71"/>
        <v>930</v>
      </c>
      <c r="D271" s="19" t="str">
        <f t="shared" si="72"/>
        <v>342650</v>
      </c>
      <c r="E271" s="19" t="s">
        <v>273</v>
      </c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>
        <f>VLOOKUP(B:B,'[3]תקבולים 2017'!B:R,15,0)</f>
        <v>0</v>
      </c>
      <c r="Q271" s="20">
        <f>-VLOOKUP(B:B,'[3]דוח כספי 10.17 מעודכן'!A:D,4,0)</f>
        <v>0</v>
      </c>
      <c r="R271" s="20">
        <f>VLOOKUP(B:B,'[3]תקבולים 2017'!B:T,17,0)</f>
        <v>0</v>
      </c>
      <c r="S271" s="20">
        <f>Q271/10*12</f>
        <v>0</v>
      </c>
      <c r="T271" s="21">
        <v>0</v>
      </c>
      <c r="U271" s="12"/>
      <c r="V271" s="22"/>
      <c r="W271" s="23">
        <f>P271-Q271</f>
        <v>0</v>
      </c>
      <c r="X271" s="45"/>
    </row>
    <row r="272" spans="1:24" ht="24.95" customHeight="1">
      <c r="B272" s="28"/>
      <c r="C272" s="29"/>
      <c r="D272" s="29"/>
      <c r="E272" s="29" t="s">
        <v>274</v>
      </c>
      <c r="F272" s="30">
        <f t="shared" ref="F272:K272" si="75">SUM(F260:F262)</f>
        <v>40000</v>
      </c>
      <c r="G272" s="30">
        <f t="shared" si="75"/>
        <v>16378</v>
      </c>
      <c r="H272" s="30">
        <f t="shared" si="75"/>
        <v>19653.600000000002</v>
      </c>
      <c r="I272" s="30">
        <f t="shared" si="75"/>
        <v>19653.600000000002</v>
      </c>
      <c r="J272" s="30" t="e">
        <f t="shared" si="75"/>
        <v>#REF!</v>
      </c>
      <c r="K272" s="30" t="e">
        <f t="shared" si="75"/>
        <v>#REF!</v>
      </c>
      <c r="L272" s="30">
        <f t="shared" ref="L272:O272" si="76">SUM(L260:L271)</f>
        <v>21004</v>
      </c>
      <c r="M272" s="30">
        <f t="shared" si="76"/>
        <v>21600</v>
      </c>
      <c r="N272" s="30">
        <f t="shared" si="76"/>
        <v>21600</v>
      </c>
      <c r="O272" s="30" t="e">
        <f t="shared" si="76"/>
        <v>#N/A</v>
      </c>
      <c r="P272" s="30">
        <f t="shared" ref="P272:S272" si="77">SUM(P255:P271)</f>
        <v>2046000</v>
      </c>
      <c r="Q272" s="30">
        <f t="shared" si="77"/>
        <v>879881</v>
      </c>
      <c r="R272" s="30">
        <f t="shared" si="77"/>
        <v>2097000</v>
      </c>
      <c r="S272" s="30">
        <f t="shared" si="77"/>
        <v>1055857.2000000002</v>
      </c>
      <c r="T272" s="31">
        <f>SUM(T255:T271)</f>
        <v>1646000</v>
      </c>
      <c r="U272" s="12">
        <f>IF(ISBLANK(B272),1,--OR(L272&gt;1,M272&gt;1,N272&gt;1))</f>
        <v>1</v>
      </c>
      <c r="V272" s="22">
        <f>+Q272-N272</f>
        <v>858281</v>
      </c>
      <c r="W272" s="23">
        <f>P272-Q272</f>
        <v>1166119</v>
      </c>
      <c r="X272" s="43"/>
    </row>
    <row r="273" spans="1:24" ht="24.95" customHeight="1">
      <c r="A273" s="1">
        <v>12</v>
      </c>
      <c r="B273" s="24">
        <v>1343002930</v>
      </c>
      <c r="C273" s="25" t="str">
        <f t="shared" ref="C273:C285" si="78">MID(B273,8,3)</f>
        <v>930</v>
      </c>
      <c r="D273" s="25" t="str">
        <f t="shared" ref="D273:D285" si="79">MID(B273,2,6)</f>
        <v>343002</v>
      </c>
      <c r="E273" s="25" t="s">
        <v>275</v>
      </c>
      <c r="F273" s="26"/>
      <c r="G273" s="26"/>
      <c r="H273" s="26"/>
      <c r="I273" s="26"/>
      <c r="J273" s="26"/>
      <c r="K273" s="26"/>
      <c r="L273" s="26"/>
      <c r="M273" s="26"/>
      <c r="N273" s="26"/>
      <c r="O273" s="44"/>
      <c r="P273" s="26">
        <v>0</v>
      </c>
      <c r="Q273" s="26">
        <v>0</v>
      </c>
      <c r="R273" s="26">
        <v>0</v>
      </c>
      <c r="S273" s="26">
        <v>0</v>
      </c>
      <c r="T273" s="27">
        <v>17000</v>
      </c>
      <c r="U273" s="46"/>
      <c r="V273" s="47"/>
      <c r="W273" s="48"/>
      <c r="X273" s="45">
        <v>1343100930</v>
      </c>
    </row>
    <row r="274" spans="1:24" ht="24.95" customHeight="1">
      <c r="A274" s="1">
        <v>12</v>
      </c>
      <c r="B274" s="24">
        <v>1343004930</v>
      </c>
      <c r="C274" s="25" t="str">
        <f t="shared" si="78"/>
        <v>930</v>
      </c>
      <c r="D274" s="25" t="str">
        <f t="shared" si="79"/>
        <v>343004</v>
      </c>
      <c r="E274" s="25" t="s">
        <v>276</v>
      </c>
      <c r="F274" s="26"/>
      <c r="G274" s="26"/>
      <c r="H274" s="26"/>
      <c r="I274" s="26"/>
      <c r="J274" s="26"/>
      <c r="K274" s="26"/>
      <c r="L274" s="26"/>
      <c r="M274" s="26"/>
      <c r="N274" s="26"/>
      <c r="O274" s="44"/>
      <c r="P274" s="26">
        <v>0</v>
      </c>
      <c r="Q274" s="26">
        <v>0</v>
      </c>
      <c r="R274" s="26">
        <v>0</v>
      </c>
      <c r="S274" s="26">
        <v>0</v>
      </c>
      <c r="T274" s="27">
        <v>717000</v>
      </c>
      <c r="U274" s="46"/>
      <c r="V274" s="47"/>
      <c r="W274" s="48"/>
      <c r="X274" s="45">
        <v>1343800930</v>
      </c>
    </row>
    <row r="275" spans="1:24" ht="24.95" customHeight="1">
      <c r="A275" s="1">
        <v>12</v>
      </c>
      <c r="B275" s="24">
        <v>1343007930</v>
      </c>
      <c r="C275" s="25" t="str">
        <f t="shared" si="78"/>
        <v>930</v>
      </c>
      <c r="D275" s="25" t="str">
        <f t="shared" si="79"/>
        <v>343007</v>
      </c>
      <c r="E275" s="25" t="s">
        <v>277</v>
      </c>
      <c r="F275" s="26"/>
      <c r="G275" s="26"/>
      <c r="H275" s="26"/>
      <c r="I275" s="26"/>
      <c r="J275" s="26"/>
      <c r="K275" s="26"/>
      <c r="L275" s="26"/>
      <c r="M275" s="26"/>
      <c r="N275" s="26"/>
      <c r="O275" s="44"/>
      <c r="P275" s="26">
        <v>0</v>
      </c>
      <c r="Q275" s="26">
        <v>0</v>
      </c>
      <c r="R275" s="26">
        <v>0</v>
      </c>
      <c r="S275" s="26">
        <v>0</v>
      </c>
      <c r="T275" s="27">
        <v>233000</v>
      </c>
      <c r="U275" s="46"/>
      <c r="V275" s="47"/>
      <c r="W275" s="48"/>
      <c r="X275" s="45">
        <v>1343900930</v>
      </c>
    </row>
    <row r="276" spans="1:24" ht="24.95" customHeight="1">
      <c r="A276" s="1">
        <v>12</v>
      </c>
      <c r="B276" s="24">
        <v>1343101930</v>
      </c>
      <c r="C276" s="25" t="str">
        <f t="shared" si="78"/>
        <v>930</v>
      </c>
      <c r="D276" s="25" t="str">
        <f t="shared" si="79"/>
        <v>343101</v>
      </c>
      <c r="E276" s="25" t="s">
        <v>278</v>
      </c>
      <c r="F276" s="26"/>
      <c r="G276" s="26"/>
      <c r="H276" s="26"/>
      <c r="I276" s="26"/>
      <c r="J276" s="26"/>
      <c r="K276" s="26"/>
      <c r="L276" s="26"/>
      <c r="M276" s="26"/>
      <c r="N276" s="26"/>
      <c r="O276" s="44"/>
      <c r="P276" s="26">
        <v>0</v>
      </c>
      <c r="Q276" s="26">
        <v>0</v>
      </c>
      <c r="R276" s="26">
        <v>0</v>
      </c>
      <c r="S276" s="26">
        <v>0</v>
      </c>
      <c r="T276" s="27">
        <v>380000</v>
      </c>
      <c r="U276" s="46"/>
      <c r="V276" s="47"/>
      <c r="W276" s="48"/>
      <c r="X276" s="45">
        <v>1343510930</v>
      </c>
    </row>
    <row r="277" spans="1:24" ht="24.95" customHeight="1">
      <c r="A277" s="1">
        <v>12</v>
      </c>
      <c r="B277" s="24">
        <v>1343102930</v>
      </c>
      <c r="C277" s="25" t="str">
        <f t="shared" si="78"/>
        <v>930</v>
      </c>
      <c r="D277" s="25" t="str">
        <f t="shared" si="79"/>
        <v>343102</v>
      </c>
      <c r="E277" s="25" t="s">
        <v>279</v>
      </c>
      <c r="F277" s="26"/>
      <c r="G277" s="26"/>
      <c r="H277" s="26"/>
      <c r="I277" s="26"/>
      <c r="J277" s="26"/>
      <c r="K277" s="26"/>
      <c r="L277" s="26"/>
      <c r="M277" s="26"/>
      <c r="N277" s="26"/>
      <c r="O277" s="44"/>
      <c r="P277" s="26">
        <v>0</v>
      </c>
      <c r="Q277" s="26">
        <v>0</v>
      </c>
      <c r="R277" s="26">
        <v>0</v>
      </c>
      <c r="S277" s="26">
        <v>0</v>
      </c>
      <c r="T277" s="27">
        <v>84000</v>
      </c>
      <c r="U277" s="46"/>
      <c r="V277" s="47"/>
      <c r="W277" s="48"/>
      <c r="X277" s="45">
        <v>1346610930</v>
      </c>
    </row>
    <row r="278" spans="1:24" ht="24.95" customHeight="1">
      <c r="A278" s="1">
        <v>12</v>
      </c>
      <c r="B278" s="24">
        <v>1343105930</v>
      </c>
      <c r="C278" s="25" t="str">
        <f t="shared" si="78"/>
        <v>930</v>
      </c>
      <c r="D278" s="25" t="str">
        <f t="shared" si="79"/>
        <v>343105</v>
      </c>
      <c r="E278" s="25" t="s">
        <v>280</v>
      </c>
      <c r="F278" s="26"/>
      <c r="G278" s="26"/>
      <c r="H278" s="26"/>
      <c r="I278" s="26"/>
      <c r="J278" s="26"/>
      <c r="K278" s="26"/>
      <c r="L278" s="26"/>
      <c r="M278" s="26"/>
      <c r="N278" s="26"/>
      <c r="O278" s="44"/>
      <c r="P278" s="26">
        <v>0</v>
      </c>
      <c r="Q278" s="26">
        <v>0</v>
      </c>
      <c r="R278" s="26">
        <v>0</v>
      </c>
      <c r="S278" s="26">
        <v>0</v>
      </c>
      <c r="T278" s="27">
        <v>80000</v>
      </c>
      <c r="U278" s="46"/>
      <c r="V278" s="47"/>
      <c r="W278" s="48"/>
      <c r="X278" s="45">
        <v>1342200930</v>
      </c>
    </row>
    <row r="279" spans="1:24" ht="24.95" customHeight="1">
      <c r="A279" s="1">
        <v>11</v>
      </c>
      <c r="B279" s="24">
        <v>1343500220</v>
      </c>
      <c r="C279" s="25" t="str">
        <f t="shared" si="78"/>
        <v>220</v>
      </c>
      <c r="D279" s="25" t="str">
        <f t="shared" si="79"/>
        <v>343500</v>
      </c>
      <c r="E279" s="25" t="s">
        <v>281</v>
      </c>
      <c r="F279" s="26">
        <v>515000</v>
      </c>
      <c r="G279" s="26">
        <v>236153</v>
      </c>
      <c r="H279" s="26">
        <f>314987+78834</f>
        <v>393821</v>
      </c>
      <c r="I279" s="26">
        <v>410000</v>
      </c>
      <c r="J279" s="26" t="e">
        <f>VLOOKUP(B279,#REF!,6,0)</f>
        <v>#REF!</v>
      </c>
      <c r="K279" s="26" t="e">
        <f>+J279*1.71428571428571</f>
        <v>#REF!</v>
      </c>
      <c r="L279" s="26">
        <v>410000</v>
      </c>
      <c r="M279" s="26">
        <v>400000</v>
      </c>
      <c r="N279" s="26">
        <v>400000</v>
      </c>
      <c r="O279" s="26" t="e">
        <f>VLOOKUP(B279,[3]כספי!$A$1:$E$324,5,0)</f>
        <v>#N/A</v>
      </c>
      <c r="P279" s="26">
        <f>VLOOKUP(B:B,'[3]תקבולים 2017'!B:R,15,0)</f>
        <v>13000</v>
      </c>
      <c r="Q279" s="26">
        <f>-VLOOKUP(B:B,'[3]דוח כספי 10.17 מעודכן'!A:D,4,0)</f>
        <v>0</v>
      </c>
      <c r="R279" s="26">
        <f>VLOOKUP(B:B,'[3]תקבולים 2017'!B:T,17,0)</f>
        <v>0</v>
      </c>
      <c r="S279" s="26">
        <f>Q279/10*12</f>
        <v>0</v>
      </c>
      <c r="T279" s="27">
        <v>0</v>
      </c>
      <c r="U279" s="12">
        <f>IF(ISBLANK(B279),1,--OR(L279&gt;1,M279&gt;1,N279&gt;1))</f>
        <v>1</v>
      </c>
      <c r="V279" s="22">
        <f>+Q279-N279</f>
        <v>-400000</v>
      </c>
      <c r="W279" s="23">
        <f>P279-Q279</f>
        <v>13000</v>
      </c>
      <c r="X279" s="45"/>
    </row>
    <row r="280" spans="1:24" s="39" customFormat="1" ht="24.95" customHeight="1">
      <c r="A280" s="39">
        <v>12</v>
      </c>
      <c r="B280" s="24">
        <v>1343500930</v>
      </c>
      <c r="C280" s="25" t="str">
        <f t="shared" si="78"/>
        <v>930</v>
      </c>
      <c r="D280" s="25" t="str">
        <f t="shared" si="79"/>
        <v>343500</v>
      </c>
      <c r="E280" s="25" t="s">
        <v>282</v>
      </c>
      <c r="F280" s="26"/>
      <c r="G280" s="26"/>
      <c r="H280" s="26"/>
      <c r="I280" s="26"/>
      <c r="J280" s="26">
        <v>739</v>
      </c>
      <c r="K280" s="26">
        <f>+J280*1.71428571428571</f>
        <v>1266.8571428571397</v>
      </c>
      <c r="L280" s="26">
        <v>2177</v>
      </c>
      <c r="M280" s="26">
        <v>1300</v>
      </c>
      <c r="N280" s="26">
        <v>1300</v>
      </c>
      <c r="O280" s="26" t="e">
        <f>VLOOKUP(B280,[3]כספי!$A$1:$E$324,5,0)</f>
        <v>#N/A</v>
      </c>
      <c r="P280" s="26">
        <f>VLOOKUP(B:B,'[3]תקבולים 2017'!B:R,15,0)</f>
        <v>91000</v>
      </c>
      <c r="Q280" s="26">
        <f>-VLOOKUP(B:B,'[3]דוח כספי 10.17 מעודכן'!A:D,4,0)</f>
        <v>19381</v>
      </c>
      <c r="R280" s="26">
        <f>VLOOKUP(B:B,'[3]תקבולים 2017'!B:T,17,0)</f>
        <v>23000</v>
      </c>
      <c r="S280" s="26">
        <f>Q280/10*12</f>
        <v>23257.199999999997</v>
      </c>
      <c r="T280" s="27">
        <v>0</v>
      </c>
      <c r="U280" s="40">
        <f>IF(ISBLANK(B280),1,--OR(L280&gt;1,M280&gt;1,N280&gt;1))</f>
        <v>1</v>
      </c>
      <c r="V280" s="41">
        <f>+Q280-N280</f>
        <v>18081</v>
      </c>
      <c r="W280" s="42">
        <f>P280-Q280</f>
        <v>71619</v>
      </c>
      <c r="X280" s="45">
        <v>1346006930</v>
      </c>
    </row>
    <row r="281" spans="1:24" s="39" customFormat="1" ht="24.95" customHeight="1">
      <c r="A281" s="39">
        <v>12</v>
      </c>
      <c r="B281" s="24">
        <v>1343510930</v>
      </c>
      <c r="C281" s="25" t="str">
        <f t="shared" si="78"/>
        <v>930</v>
      </c>
      <c r="D281" s="25" t="str">
        <f t="shared" si="79"/>
        <v>343510</v>
      </c>
      <c r="E281" s="25" t="s">
        <v>278</v>
      </c>
      <c r="F281" s="26">
        <v>294000</v>
      </c>
      <c r="G281" s="26">
        <v>424094</v>
      </c>
      <c r="H281" s="26">
        <f>G281*12/10</f>
        <v>508912.8</v>
      </c>
      <c r="I281" s="26">
        <v>520000</v>
      </c>
      <c r="J281" s="26" t="e">
        <f>VLOOKUP(B281,#REF!,6,0)</f>
        <v>#REF!</v>
      </c>
      <c r="K281" s="26" t="e">
        <f>+J281*1.71428571428571</f>
        <v>#REF!</v>
      </c>
      <c r="L281" s="26">
        <v>375000</v>
      </c>
      <c r="M281" s="26">
        <v>376000</v>
      </c>
      <c r="N281" s="26">
        <v>376000</v>
      </c>
      <c r="O281" s="26">
        <f>VLOOKUP(B281,[3]כספי!$A$1:$E$324,5,0)</f>
        <v>276</v>
      </c>
      <c r="P281" s="26">
        <f>VLOOKUP(B:B,'[3]תקבולים 2017'!B:R,15,0)</f>
        <v>437000</v>
      </c>
      <c r="Q281" s="26">
        <f>-VLOOKUP(B:B,'[3]דוח כספי 10.17 מעודכן'!A:D,4,0)</f>
        <v>339199</v>
      </c>
      <c r="R281" s="26">
        <f>VLOOKUP(B:B,'[3]תקבולים 2017'!B:T,17,0)</f>
        <v>407000</v>
      </c>
      <c r="S281" s="26">
        <f>Q281/10*12</f>
        <v>407038.80000000005</v>
      </c>
      <c r="T281" s="27">
        <v>0</v>
      </c>
      <c r="U281" s="40">
        <f>IF(ISBLANK(B281),1,--OR(L281&gt;1,M281&gt;1,N281&gt;1))</f>
        <v>1</v>
      </c>
      <c r="V281" s="41">
        <f>+Q281-N281</f>
        <v>-36801</v>
      </c>
      <c r="W281" s="42">
        <f>P281-Q281</f>
        <v>97801</v>
      </c>
      <c r="X281" s="45" t="s">
        <v>283</v>
      </c>
    </row>
    <row r="282" spans="1:24" s="39" customFormat="1" ht="24.95" customHeight="1">
      <c r="A282" s="39">
        <v>12</v>
      </c>
      <c r="B282" s="24">
        <v>1343800930</v>
      </c>
      <c r="C282" s="25" t="str">
        <f t="shared" si="78"/>
        <v>930</v>
      </c>
      <c r="D282" s="25" t="str">
        <f t="shared" si="79"/>
        <v>343800</v>
      </c>
      <c r="E282" s="25" t="s">
        <v>276</v>
      </c>
      <c r="F282" s="26"/>
      <c r="G282" s="26">
        <v>24010</v>
      </c>
      <c r="H282" s="26">
        <f>G282*12/10</f>
        <v>28812</v>
      </c>
      <c r="I282" s="26">
        <v>30000</v>
      </c>
      <c r="J282" s="26" t="e">
        <f>VLOOKUP(B282,#REF!,6,0)</f>
        <v>#REF!</v>
      </c>
      <c r="K282" s="26" t="e">
        <f>+J282*1.71428571428571</f>
        <v>#REF!</v>
      </c>
      <c r="L282" s="26">
        <v>20000</v>
      </c>
      <c r="M282" s="26">
        <v>30000</v>
      </c>
      <c r="N282" s="26">
        <v>30000</v>
      </c>
      <c r="O282" s="26">
        <f>VLOOKUP(B282,[3]כספי!$A$1:$E$324,5,0)</f>
        <v>310351</v>
      </c>
      <c r="P282" s="26">
        <f>VLOOKUP(B:B,'[3]תקבולים 2017'!B:R,15,0)</f>
        <v>226000</v>
      </c>
      <c r="Q282" s="26">
        <f>-VLOOKUP(B:B,'[3]דוח כספי 10.17 מעודכן'!A:D,4,0)</f>
        <v>596859</v>
      </c>
      <c r="R282" s="26">
        <f>VLOOKUP(B:B,'[3]תקבולים 2017'!B:T,17,0)</f>
        <v>716000</v>
      </c>
      <c r="S282" s="26">
        <f>Q282/10*12</f>
        <v>716230.8</v>
      </c>
      <c r="T282" s="27">
        <v>0</v>
      </c>
      <c r="U282" s="40">
        <f>IF(ISBLANK(B282),1,--OR(L282&gt;1,M282&gt;1,N282&gt;1))</f>
        <v>1</v>
      </c>
      <c r="V282" s="41">
        <f>+Q282-N282</f>
        <v>566859</v>
      </c>
      <c r="W282" s="42">
        <f>P282-Q282</f>
        <v>-370859</v>
      </c>
      <c r="X282" s="45">
        <v>1343004930</v>
      </c>
    </row>
    <row r="283" spans="1:24" s="39" customFormat="1" ht="24.95" customHeight="1">
      <c r="A283" s="39">
        <v>12</v>
      </c>
      <c r="B283" s="24">
        <v>1343810930</v>
      </c>
      <c r="C283" s="25" t="str">
        <f t="shared" si="78"/>
        <v>930</v>
      </c>
      <c r="D283" s="25" t="str">
        <f t="shared" si="79"/>
        <v>343810</v>
      </c>
      <c r="E283" s="25" t="s">
        <v>284</v>
      </c>
      <c r="F283" s="26"/>
      <c r="G283" s="26"/>
      <c r="H283" s="26"/>
      <c r="I283" s="26"/>
      <c r="J283" s="26"/>
      <c r="K283" s="26"/>
      <c r="L283" s="26"/>
      <c r="M283" s="26"/>
      <c r="N283" s="26"/>
      <c r="O283" s="44"/>
      <c r="P283" s="26">
        <v>0</v>
      </c>
      <c r="Q283" s="26">
        <v>0</v>
      </c>
      <c r="R283" s="26">
        <v>0</v>
      </c>
      <c r="S283" s="26">
        <v>0</v>
      </c>
      <c r="T283" s="27">
        <v>183000</v>
      </c>
      <c r="U283" s="40"/>
      <c r="W283" s="42"/>
      <c r="X283" s="45">
        <v>1342300930</v>
      </c>
    </row>
    <row r="284" spans="1:24" s="39" customFormat="1" ht="24.95" customHeight="1">
      <c r="A284" s="39">
        <v>12</v>
      </c>
      <c r="B284" s="24">
        <v>1343900930</v>
      </c>
      <c r="C284" s="25" t="str">
        <f t="shared" si="78"/>
        <v>930</v>
      </c>
      <c r="D284" s="25" t="str">
        <f t="shared" si="79"/>
        <v>343900</v>
      </c>
      <c r="E284" s="25" t="s">
        <v>285</v>
      </c>
      <c r="F284" s="26">
        <v>268000</v>
      </c>
      <c r="G284" s="26">
        <v>190188</v>
      </c>
      <c r="H284" s="26">
        <f>236147+45000</f>
        <v>281147</v>
      </c>
      <c r="I284" s="26">
        <v>290000</v>
      </c>
      <c r="J284" s="26" t="e">
        <f>VLOOKUP(B284,#REF!,6,0)</f>
        <v>#REF!</v>
      </c>
      <c r="K284" s="26" t="e">
        <f>+J284*1.71428571428571</f>
        <v>#REF!</v>
      </c>
      <c r="L284" s="26">
        <v>283500</v>
      </c>
      <c r="M284" s="26">
        <v>280000</v>
      </c>
      <c r="N284" s="26">
        <v>280000</v>
      </c>
      <c r="O284" s="26">
        <f>VLOOKUP(B284,[3]כספי!$A$1:$E$324,5,0)</f>
        <v>204802</v>
      </c>
      <c r="P284" s="26">
        <f>VLOOKUP(B:B,'[3]תקבולים 2017'!B:R,15,0)</f>
        <v>817000</v>
      </c>
      <c r="Q284" s="26">
        <f>-VLOOKUP(B:B,'[3]דוח כספי 10.17 מעודכן'!A:D,4,0)</f>
        <v>204080</v>
      </c>
      <c r="R284" s="26">
        <f>VLOOKUP(B:B,'[3]תקבולים 2017'!B:T,17,0)</f>
        <v>245000</v>
      </c>
      <c r="S284" s="26">
        <f>Q284/10*12</f>
        <v>244896</v>
      </c>
      <c r="T284" s="27">
        <v>0</v>
      </c>
      <c r="U284" s="40">
        <f>IF(ISBLANK(B284),1,--OR(L284&gt;1,M284&gt;1,N284&gt;1))</f>
        <v>1</v>
      </c>
      <c r="V284" s="41">
        <f>+Q284-N284</f>
        <v>-75920</v>
      </c>
      <c r="W284" s="42">
        <f>P284-Q284</f>
        <v>612920</v>
      </c>
      <c r="X284" s="45" t="s">
        <v>286</v>
      </c>
    </row>
    <row r="285" spans="1:24" ht="24.95" customHeight="1">
      <c r="A285" s="1">
        <v>12</v>
      </c>
      <c r="B285" s="24">
        <v>1343901930</v>
      </c>
      <c r="C285" s="25" t="str">
        <f t="shared" si="78"/>
        <v>930</v>
      </c>
      <c r="D285" s="25" t="str">
        <f t="shared" si="79"/>
        <v>343901</v>
      </c>
      <c r="E285" s="25" t="s">
        <v>287</v>
      </c>
      <c r="F285" s="26"/>
      <c r="G285" s="26"/>
      <c r="H285" s="26"/>
      <c r="I285" s="26"/>
      <c r="J285" s="26"/>
      <c r="K285" s="26"/>
      <c r="L285" s="26"/>
      <c r="M285" s="26"/>
      <c r="N285" s="26"/>
      <c r="O285" s="44"/>
      <c r="P285" s="26">
        <v>0</v>
      </c>
      <c r="Q285" s="26">
        <v>0</v>
      </c>
      <c r="R285" s="26">
        <v>0</v>
      </c>
      <c r="S285" s="26">
        <v>0</v>
      </c>
      <c r="T285" s="27">
        <v>12000</v>
      </c>
      <c r="U285" s="46"/>
      <c r="V285" s="47"/>
      <c r="W285" s="48"/>
      <c r="X285" s="45">
        <v>1343900930</v>
      </c>
    </row>
    <row r="286" spans="1:24" ht="24.95" customHeight="1">
      <c r="B286" s="28"/>
      <c r="C286" s="29"/>
      <c r="D286" s="29"/>
      <c r="E286" s="29" t="s">
        <v>288</v>
      </c>
      <c r="F286" s="30">
        <f t="shared" ref="F286:O286" si="80">SUM(F279:F284)</f>
        <v>1077000</v>
      </c>
      <c r="G286" s="30">
        <f t="shared" si="80"/>
        <v>874445</v>
      </c>
      <c r="H286" s="30">
        <f t="shared" si="80"/>
        <v>1212692.8</v>
      </c>
      <c r="I286" s="30">
        <f t="shared" si="80"/>
        <v>1250000</v>
      </c>
      <c r="J286" s="30" t="e">
        <f t="shared" si="80"/>
        <v>#REF!</v>
      </c>
      <c r="K286" s="30" t="e">
        <f t="shared" si="80"/>
        <v>#REF!</v>
      </c>
      <c r="L286" s="30">
        <f t="shared" si="80"/>
        <v>1090677</v>
      </c>
      <c r="M286" s="30">
        <f t="shared" si="80"/>
        <v>1087300</v>
      </c>
      <c r="N286" s="30">
        <f t="shared" si="80"/>
        <v>1087300</v>
      </c>
      <c r="O286" s="30" t="e">
        <f t="shared" si="80"/>
        <v>#N/A</v>
      </c>
      <c r="P286" s="30">
        <f t="shared" ref="P286:S286" si="81">SUM(P273:P285)</f>
        <v>1584000</v>
      </c>
      <c r="Q286" s="30">
        <f t="shared" si="81"/>
        <v>1159519</v>
      </c>
      <c r="R286" s="30">
        <f t="shared" si="81"/>
        <v>1391000</v>
      </c>
      <c r="S286" s="30">
        <f t="shared" si="81"/>
        <v>1391422.8</v>
      </c>
      <c r="T286" s="31">
        <f>SUM(T273:T285)</f>
        <v>1706000</v>
      </c>
      <c r="U286" s="12">
        <f>IF(ISBLANK(B286),1,--OR(L286&gt;1,M286&gt;1,N286&gt;1))</f>
        <v>1</v>
      </c>
      <c r="V286" s="22">
        <f>+Q286-N286</f>
        <v>72219</v>
      </c>
      <c r="W286" s="23">
        <f>P286-Q286</f>
        <v>424481</v>
      </c>
      <c r="X286" s="43"/>
    </row>
    <row r="287" spans="1:24" ht="24.95" customHeight="1">
      <c r="A287" s="1">
        <v>11</v>
      </c>
      <c r="B287" s="24">
        <v>1344000220</v>
      </c>
      <c r="C287" s="25" t="str">
        <f t="shared" ref="C287:C303" si="82">MID(B287,8,3)</f>
        <v>220</v>
      </c>
      <c r="D287" s="25" t="str">
        <f t="shared" ref="D287:D303" si="83">MID(B287,2,6)</f>
        <v>344000</v>
      </c>
      <c r="E287" s="25" t="s">
        <v>289</v>
      </c>
      <c r="F287" s="26">
        <v>25000</v>
      </c>
      <c r="G287" s="26">
        <v>18076</v>
      </c>
      <c r="H287" s="26">
        <f>G287*12/10</f>
        <v>21691.200000000001</v>
      </c>
      <c r="I287" s="26">
        <v>25000</v>
      </c>
      <c r="J287" s="26" t="e">
        <f>VLOOKUP(B287,#REF!,6,0)</f>
        <v>#REF!</v>
      </c>
      <c r="K287" s="26" t="e">
        <f>+J287*1.71428571428571</f>
        <v>#REF!</v>
      </c>
      <c r="L287" s="26">
        <v>36000</v>
      </c>
      <c r="M287" s="26">
        <v>29300</v>
      </c>
      <c r="N287" s="26">
        <v>29300</v>
      </c>
      <c r="O287" s="26" t="e">
        <f>VLOOKUP(B287,[3]כספי!$A$1:$E$324,5,0)</f>
        <v>#N/A</v>
      </c>
      <c r="P287" s="26">
        <f>VLOOKUP(B:B,'[3]תקבולים 2017'!B:R,15,0)</f>
        <v>9000</v>
      </c>
      <c r="Q287" s="26">
        <f>-VLOOKUP(B:B,'[3]דוח כספי 10.17 מעודכן'!A:D,4,0)</f>
        <v>4500</v>
      </c>
      <c r="R287" s="26">
        <f>VLOOKUP(B:B,'[3]תקבולים 2017'!B:T,17,0)</f>
        <v>5000</v>
      </c>
      <c r="S287" s="26">
        <f>Q287/10*12</f>
        <v>5400</v>
      </c>
      <c r="T287" s="27">
        <v>4500</v>
      </c>
      <c r="U287" s="12">
        <f>IF(ISBLANK(B287),1,--OR(L287&gt;1,M287&gt;1,N287&gt;1))</f>
        <v>1</v>
      </c>
      <c r="V287" s="22">
        <f>+Q287-N287</f>
        <v>-24800</v>
      </c>
      <c r="W287" s="23">
        <f>P287-Q287</f>
        <v>4500</v>
      </c>
      <c r="X287" s="45"/>
    </row>
    <row r="288" spans="1:24" ht="24.95" customHeight="1">
      <c r="A288" s="1">
        <v>12</v>
      </c>
      <c r="B288" s="24">
        <v>1344005930</v>
      </c>
      <c r="C288" s="25" t="str">
        <f t="shared" si="82"/>
        <v>930</v>
      </c>
      <c r="D288" s="25" t="str">
        <f t="shared" si="83"/>
        <v>344005</v>
      </c>
      <c r="E288" s="25" t="s">
        <v>290</v>
      </c>
      <c r="F288" s="26"/>
      <c r="G288" s="26"/>
      <c r="H288" s="26"/>
      <c r="I288" s="26"/>
      <c r="J288" s="26"/>
      <c r="K288" s="26"/>
      <c r="L288" s="26"/>
      <c r="M288" s="26"/>
      <c r="N288" s="26"/>
      <c r="O288" s="44"/>
      <c r="P288" s="26">
        <v>0</v>
      </c>
      <c r="Q288" s="26">
        <v>0</v>
      </c>
      <c r="R288" s="26">
        <v>0</v>
      </c>
      <c r="S288" s="26">
        <v>0</v>
      </c>
      <c r="T288" s="27">
        <v>28000</v>
      </c>
      <c r="U288" s="46"/>
      <c r="V288" s="47"/>
      <c r="W288" s="48"/>
      <c r="X288" s="45">
        <v>1343510930</v>
      </c>
    </row>
    <row r="289" spans="1:24" ht="24.95" customHeight="1">
      <c r="A289" s="1">
        <v>12</v>
      </c>
      <c r="B289" s="24">
        <v>1344007930</v>
      </c>
      <c r="C289" s="25" t="str">
        <f t="shared" si="82"/>
        <v>930</v>
      </c>
      <c r="D289" s="25" t="str">
        <f t="shared" si="83"/>
        <v>344007</v>
      </c>
      <c r="E289" s="25" t="s">
        <v>291</v>
      </c>
      <c r="F289" s="26"/>
      <c r="G289" s="26"/>
      <c r="H289" s="26"/>
      <c r="I289" s="26"/>
      <c r="J289" s="26"/>
      <c r="K289" s="26"/>
      <c r="L289" s="26"/>
      <c r="M289" s="26"/>
      <c r="N289" s="26"/>
      <c r="O289" s="44"/>
      <c r="P289" s="26">
        <v>0</v>
      </c>
      <c r="Q289" s="26">
        <v>0</v>
      </c>
      <c r="R289" s="26">
        <v>0</v>
      </c>
      <c r="S289" s="26">
        <v>0</v>
      </c>
      <c r="T289" s="27">
        <v>130000</v>
      </c>
      <c r="U289" s="46"/>
      <c r="V289" s="47"/>
      <c r="W289" s="48"/>
      <c r="X289" s="45">
        <v>1344410930</v>
      </c>
    </row>
    <row r="290" spans="1:24" ht="24.95" customHeight="1">
      <c r="A290" s="1">
        <v>12</v>
      </c>
      <c r="B290" s="24">
        <v>1344008930</v>
      </c>
      <c r="C290" s="25" t="str">
        <f t="shared" si="82"/>
        <v>930</v>
      </c>
      <c r="D290" s="25" t="str">
        <f t="shared" si="83"/>
        <v>344008</v>
      </c>
      <c r="E290" s="25" t="s">
        <v>292</v>
      </c>
      <c r="F290" s="26"/>
      <c r="G290" s="26"/>
      <c r="H290" s="26"/>
      <c r="I290" s="26"/>
      <c r="J290" s="26"/>
      <c r="K290" s="26"/>
      <c r="L290" s="26"/>
      <c r="M290" s="26"/>
      <c r="N290" s="26"/>
      <c r="O290" s="44"/>
      <c r="P290" s="26">
        <v>0</v>
      </c>
      <c r="Q290" s="26">
        <v>0</v>
      </c>
      <c r="R290" s="26">
        <v>0</v>
      </c>
      <c r="S290" s="26">
        <v>0</v>
      </c>
      <c r="T290" s="27">
        <v>5000</v>
      </c>
      <c r="U290" s="46"/>
      <c r="V290" s="47"/>
      <c r="W290" s="48"/>
      <c r="X290" s="45">
        <v>1345300930</v>
      </c>
    </row>
    <row r="291" spans="1:24" s="39" customFormat="1" ht="24.95" customHeight="1">
      <c r="A291" s="39">
        <v>12</v>
      </c>
      <c r="B291" s="24">
        <v>1344400930</v>
      </c>
      <c r="C291" s="25" t="str">
        <f t="shared" si="82"/>
        <v>930</v>
      </c>
      <c r="D291" s="25" t="str">
        <f t="shared" si="83"/>
        <v>344400</v>
      </c>
      <c r="E291" s="25" t="s">
        <v>293</v>
      </c>
      <c r="F291" s="26"/>
      <c r="G291" s="26">
        <v>88</v>
      </c>
      <c r="H291" s="26">
        <f>G291*12/10</f>
        <v>105.6</v>
      </c>
      <c r="I291" s="26">
        <v>1000</v>
      </c>
      <c r="J291" s="26" t="e">
        <f>VLOOKUP(B291,#REF!,6,0)</f>
        <v>#REF!</v>
      </c>
      <c r="K291" s="26" t="e">
        <f>+J291*1.71428571428571</f>
        <v>#REF!</v>
      </c>
      <c r="L291" s="26">
        <v>1000</v>
      </c>
      <c r="M291" s="26">
        <v>0</v>
      </c>
      <c r="N291" s="26">
        <v>0</v>
      </c>
      <c r="O291" s="26"/>
      <c r="P291" s="26">
        <f>VLOOKUP(B:B,'[3]תקבולים 2017'!B:R,15,0)</f>
        <v>213000</v>
      </c>
      <c r="Q291" s="26">
        <f>-VLOOKUP(B:B,'[3]דוח כספי 10.17 מעודכן'!A:D,4,0)</f>
        <v>376980</v>
      </c>
      <c r="R291" s="26">
        <f>VLOOKUP(B:B,'[3]תקבולים 2017'!B:T,17,0)</f>
        <v>452000</v>
      </c>
      <c r="S291" s="26">
        <f>Q291/10*12</f>
        <v>452376</v>
      </c>
      <c r="T291" s="27">
        <v>0</v>
      </c>
      <c r="U291" s="40">
        <f>IF(ISBLANK(B291),1,--OR(L291&gt;1,M291&gt;1,N291&gt;1))</f>
        <v>1</v>
      </c>
      <c r="V291" s="41">
        <f>+Q291-N291</f>
        <v>376980</v>
      </c>
      <c r="W291" s="42">
        <f>P291-Q291</f>
        <v>-163980</v>
      </c>
      <c r="X291" s="45">
        <v>1345401930</v>
      </c>
    </row>
    <row r="292" spans="1:24" s="39" customFormat="1" ht="24.95" customHeight="1">
      <c r="A292" s="39">
        <v>12</v>
      </c>
      <c r="B292" s="24">
        <v>1344410930</v>
      </c>
      <c r="C292" s="25" t="str">
        <f t="shared" si="82"/>
        <v>930</v>
      </c>
      <c r="D292" s="25" t="str">
        <f t="shared" si="83"/>
        <v>344410</v>
      </c>
      <c r="E292" s="25" t="s">
        <v>294</v>
      </c>
      <c r="F292" s="26">
        <v>0</v>
      </c>
      <c r="G292" s="26"/>
      <c r="H292" s="26">
        <v>0</v>
      </c>
      <c r="I292" s="26"/>
      <c r="J292" s="26">
        <v>35424</v>
      </c>
      <c r="K292" s="26">
        <v>35424</v>
      </c>
      <c r="L292" s="26">
        <v>35424</v>
      </c>
      <c r="M292" s="26">
        <v>78700</v>
      </c>
      <c r="N292" s="26">
        <v>78700</v>
      </c>
      <c r="O292" s="26" t="e">
        <f>VLOOKUP(B292,[3]כספי!$A$1:$E$324,5,0)</f>
        <v>#N/A</v>
      </c>
      <c r="P292" s="26">
        <f>VLOOKUP(B:B,'[3]תקבולים 2017'!B:R,15,0)</f>
        <v>0</v>
      </c>
      <c r="Q292" s="26">
        <f>-VLOOKUP(B:B,'[3]דוח כספי 10.17 מעודכן'!A:D,4,0)</f>
        <v>107319</v>
      </c>
      <c r="R292" s="26">
        <f>VLOOKUP(B:B,'[3]תקבולים 2017'!B:T,17,0)</f>
        <v>130000</v>
      </c>
      <c r="S292" s="26">
        <f>Q292/10*12</f>
        <v>128782.79999999999</v>
      </c>
      <c r="T292" s="27">
        <v>0</v>
      </c>
      <c r="U292" s="40">
        <f>IF(ISBLANK(B292),1,--OR(L292&gt;1,M292&gt;1,N292&gt;1))</f>
        <v>1</v>
      </c>
      <c r="V292" s="41">
        <f>+Q292-N292</f>
        <v>28619</v>
      </c>
      <c r="W292" s="42">
        <f>P292-Q292</f>
        <v>-107319</v>
      </c>
      <c r="X292" s="45">
        <v>1344007930</v>
      </c>
    </row>
    <row r="293" spans="1:24" ht="24.95" customHeight="1">
      <c r="A293" s="1">
        <v>12</v>
      </c>
      <c r="B293" s="24">
        <v>1345004930</v>
      </c>
      <c r="C293" s="25" t="str">
        <f t="shared" si="82"/>
        <v>930</v>
      </c>
      <c r="D293" s="25" t="str">
        <f t="shared" si="83"/>
        <v>345004</v>
      </c>
      <c r="E293" s="25" t="s">
        <v>295</v>
      </c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>
        <v>0</v>
      </c>
      <c r="Q293" s="26">
        <v>0</v>
      </c>
      <c r="R293" s="26">
        <v>0</v>
      </c>
      <c r="S293" s="26">
        <v>0</v>
      </c>
      <c r="T293" s="27">
        <v>25000</v>
      </c>
      <c r="U293" s="46"/>
      <c r="V293" s="47"/>
      <c r="W293" s="48"/>
      <c r="X293" s="59">
        <v>1345200930</v>
      </c>
    </row>
    <row r="294" spans="1:24" ht="24.95" customHeight="1">
      <c r="A294" s="1">
        <v>12</v>
      </c>
      <c r="B294" s="24">
        <v>1345005930</v>
      </c>
      <c r="C294" s="25" t="str">
        <f t="shared" si="82"/>
        <v>930</v>
      </c>
      <c r="D294" s="25" t="str">
        <f t="shared" si="83"/>
        <v>345005</v>
      </c>
      <c r="E294" s="25" t="s">
        <v>296</v>
      </c>
      <c r="F294" s="26"/>
      <c r="G294" s="26"/>
      <c r="H294" s="26"/>
      <c r="I294" s="26"/>
      <c r="J294" s="26"/>
      <c r="K294" s="26"/>
      <c r="L294" s="26"/>
      <c r="M294" s="26"/>
      <c r="N294" s="26"/>
      <c r="O294" s="44"/>
      <c r="P294" s="26">
        <v>0</v>
      </c>
      <c r="Q294" s="26">
        <v>0</v>
      </c>
      <c r="R294" s="26">
        <v>0</v>
      </c>
      <c r="S294" s="26">
        <v>0</v>
      </c>
      <c r="T294" s="27">
        <v>22000</v>
      </c>
      <c r="U294" s="46"/>
      <c r="V294" s="47"/>
      <c r="W294" s="48"/>
      <c r="X294" s="45">
        <v>1345300930</v>
      </c>
    </row>
    <row r="295" spans="1:24" ht="24.95" customHeight="1">
      <c r="A295" s="1">
        <v>12</v>
      </c>
      <c r="B295" s="24">
        <v>1345100930</v>
      </c>
      <c r="C295" s="25" t="str">
        <f t="shared" si="82"/>
        <v>930</v>
      </c>
      <c r="D295" s="25" t="str">
        <f t="shared" si="83"/>
        <v>345100</v>
      </c>
      <c r="E295" s="25" t="s">
        <v>297</v>
      </c>
      <c r="F295" s="26">
        <v>960000</v>
      </c>
      <c r="G295" s="26">
        <v>907096</v>
      </c>
      <c r="H295" s="26">
        <f>999152+92000</f>
        <v>1091152</v>
      </c>
      <c r="I295" s="26">
        <v>1142000</v>
      </c>
      <c r="J295" s="26" t="e">
        <f>VLOOKUP(B295,#REF!,6,0)</f>
        <v>#REF!</v>
      </c>
      <c r="K295" s="26" t="e">
        <f>+J295*1.71428571428571</f>
        <v>#REF!</v>
      </c>
      <c r="L295" s="26">
        <v>1089628</v>
      </c>
      <c r="M295" s="26">
        <v>1087000</v>
      </c>
      <c r="N295" s="26">
        <v>1087000</v>
      </c>
      <c r="O295" s="44">
        <f>VLOOKUP(B295,[3]כספי!$A$1:$E$324,5,0)</f>
        <v>806407</v>
      </c>
      <c r="P295" s="26">
        <f>VLOOKUP(B:B,'[3]תקבולים 2017'!B:R,15,0)</f>
        <v>430000</v>
      </c>
      <c r="Q295" s="26">
        <f>-VLOOKUP(B:B,'[3]דוח כספי 10.17 מעודכן'!A:D,4,0)</f>
        <v>93382</v>
      </c>
      <c r="R295" s="26">
        <f>VLOOKUP(B:B,'[3]תקבולים 2017'!B:T,17,0)</f>
        <v>112000</v>
      </c>
      <c r="S295" s="26">
        <f>Q295/10*12</f>
        <v>112058.40000000001</v>
      </c>
      <c r="T295" s="27">
        <v>113000</v>
      </c>
      <c r="U295" s="46">
        <f>IF(ISBLANK(B295),1,--OR(L295&gt;1,M295&gt;1,N295&gt;1))</f>
        <v>1</v>
      </c>
      <c r="V295" s="47">
        <f>+Q295-N295</f>
        <v>-993618</v>
      </c>
      <c r="W295" s="48">
        <f>P295-Q295</f>
        <v>336618</v>
      </c>
      <c r="X295" s="45"/>
    </row>
    <row r="296" spans="1:24" s="39" customFormat="1" ht="24.95" customHeight="1">
      <c r="A296" s="39">
        <v>12</v>
      </c>
      <c r="B296" s="24">
        <v>1345200930</v>
      </c>
      <c r="C296" s="25" t="str">
        <f t="shared" si="82"/>
        <v>930</v>
      </c>
      <c r="D296" s="25" t="str">
        <f t="shared" si="83"/>
        <v>345200</v>
      </c>
      <c r="E296" s="25" t="s">
        <v>298</v>
      </c>
      <c r="F296" s="26">
        <v>7000</v>
      </c>
      <c r="G296" s="26">
        <v>5171</v>
      </c>
      <c r="H296" s="26">
        <f>G296*12/10</f>
        <v>6205.2</v>
      </c>
      <c r="I296" s="26">
        <v>7000</v>
      </c>
      <c r="J296" s="26" t="e">
        <f>VLOOKUP(B296,#REF!,6,0)</f>
        <v>#REF!</v>
      </c>
      <c r="K296" s="26" t="e">
        <f>+J296*1.71428571428571</f>
        <v>#REF!</v>
      </c>
      <c r="L296" s="26">
        <v>5000</v>
      </c>
      <c r="M296" s="26">
        <v>5000</v>
      </c>
      <c r="N296" s="26">
        <v>5000</v>
      </c>
      <c r="O296" s="44">
        <f>VLOOKUP(B296,[3]כספי!$A$1:$E$324,5,0)</f>
        <v>109067</v>
      </c>
      <c r="P296" s="26">
        <f>VLOOKUP(B:B,'[3]תקבולים 2017'!B:R,15,0)</f>
        <v>566000</v>
      </c>
      <c r="Q296" s="26">
        <f>-VLOOKUP(B:B,'[3]דוח כספי 10.17 מעודכן'!A:D,4,0)</f>
        <v>359159</v>
      </c>
      <c r="R296" s="26">
        <f>VLOOKUP(B:B,'[3]תקבולים 2017'!B:T,17,0)</f>
        <v>430000</v>
      </c>
      <c r="S296" s="26">
        <f>Q296/10*12</f>
        <v>430990.80000000005</v>
      </c>
      <c r="T296" s="27">
        <v>0</v>
      </c>
      <c r="U296" s="40">
        <f>IF(ISBLANK(B296),1,--OR(L296&gt;1,M296&gt;1,N296&gt;1))</f>
        <v>1</v>
      </c>
      <c r="V296" s="39">
        <f>+Q296-N296</f>
        <v>354159</v>
      </c>
      <c r="W296" s="42">
        <f>P296-Q296</f>
        <v>206841</v>
      </c>
      <c r="X296" s="45" t="s">
        <v>299</v>
      </c>
    </row>
    <row r="297" spans="1:24" s="39" customFormat="1" ht="24.95" customHeight="1">
      <c r="A297" s="39">
        <v>12</v>
      </c>
      <c r="B297" s="24">
        <v>1345201930</v>
      </c>
      <c r="C297" s="25" t="str">
        <f t="shared" si="82"/>
        <v>930</v>
      </c>
      <c r="D297" s="25" t="str">
        <f t="shared" si="83"/>
        <v>345201</v>
      </c>
      <c r="E297" s="25" t="s">
        <v>300</v>
      </c>
      <c r="F297" s="26"/>
      <c r="G297" s="26"/>
      <c r="H297" s="26"/>
      <c r="I297" s="26"/>
      <c r="J297" s="26"/>
      <c r="K297" s="26"/>
      <c r="L297" s="26"/>
      <c r="M297" s="26"/>
      <c r="N297" s="26"/>
      <c r="O297" s="44"/>
      <c r="P297" s="26">
        <v>0</v>
      </c>
      <c r="Q297" s="26">
        <v>0</v>
      </c>
      <c r="R297" s="26">
        <v>0</v>
      </c>
      <c r="S297" s="26">
        <v>0</v>
      </c>
      <c r="T297" s="27">
        <v>407000</v>
      </c>
      <c r="U297" s="40"/>
      <c r="W297" s="42"/>
      <c r="X297" s="45">
        <v>1345200930</v>
      </c>
    </row>
    <row r="298" spans="1:24" s="39" customFormat="1" ht="24.95" customHeight="1">
      <c r="A298" s="39">
        <v>12</v>
      </c>
      <c r="B298" s="24">
        <v>1345300930</v>
      </c>
      <c r="C298" s="25" t="str">
        <f t="shared" si="82"/>
        <v>930</v>
      </c>
      <c r="D298" s="25" t="str">
        <f t="shared" si="83"/>
        <v>345300</v>
      </c>
      <c r="E298" s="25" t="s">
        <v>301</v>
      </c>
      <c r="F298" s="26">
        <v>100000</v>
      </c>
      <c r="G298" s="26">
        <v>125952</v>
      </c>
      <c r="H298" s="26">
        <f>164584+39000</f>
        <v>203584</v>
      </c>
      <c r="I298" s="26">
        <v>210000</v>
      </c>
      <c r="J298" s="26" t="e">
        <f>VLOOKUP(B298,#REF!,6,0)</f>
        <v>#REF!</v>
      </c>
      <c r="K298" s="26" t="e">
        <f>+J298*1.71428571428571</f>
        <v>#REF!</v>
      </c>
      <c r="L298" s="26">
        <v>250000</v>
      </c>
      <c r="M298" s="26">
        <v>180000</v>
      </c>
      <c r="N298" s="26">
        <v>180000</v>
      </c>
      <c r="O298" s="44" t="e">
        <f>VLOOKUP(B298,[3]כספי!$A$1:$E$324,5,0)</f>
        <v>#N/A</v>
      </c>
      <c r="P298" s="26">
        <f>VLOOKUP(B:B,'[3]תקבולים 2017'!B:R,15,0)</f>
        <v>0</v>
      </c>
      <c r="Q298" s="26">
        <f>-VLOOKUP(B:B,'[3]דוח כספי 10.17 מעודכן'!A:D,4,0)</f>
        <v>22341</v>
      </c>
      <c r="R298" s="26">
        <f>VLOOKUP(B:B,'[3]תקבולים 2017'!B:T,17,0)</f>
        <v>27000</v>
      </c>
      <c r="S298" s="26">
        <f>Q298/10*12</f>
        <v>26809.199999999997</v>
      </c>
      <c r="T298" s="27">
        <v>0</v>
      </c>
      <c r="U298" s="40">
        <f>IF(ISBLANK(B298),1,--OR(L298&gt;1,M298&gt;1,N298&gt;1))</f>
        <v>1</v>
      </c>
      <c r="V298" s="39">
        <f>+Q298-N298</f>
        <v>-157659</v>
      </c>
      <c r="W298" s="42">
        <f>P298-Q298</f>
        <v>-22341</v>
      </c>
      <c r="X298" s="45" t="s">
        <v>302</v>
      </c>
    </row>
    <row r="299" spans="1:24" s="39" customFormat="1" ht="24.95" customHeight="1">
      <c r="A299" s="39">
        <v>12</v>
      </c>
      <c r="B299" s="24">
        <v>1345301930</v>
      </c>
      <c r="C299" s="25" t="str">
        <f t="shared" si="82"/>
        <v>930</v>
      </c>
      <c r="D299" s="25" t="str">
        <f t="shared" si="83"/>
        <v>345301</v>
      </c>
      <c r="E299" s="25" t="s">
        <v>303</v>
      </c>
      <c r="F299" s="26"/>
      <c r="G299" s="26"/>
      <c r="H299" s="26"/>
      <c r="I299" s="26"/>
      <c r="J299" s="26"/>
      <c r="K299" s="26"/>
      <c r="L299" s="26"/>
      <c r="M299" s="26"/>
      <c r="N299" s="26"/>
      <c r="O299" s="44"/>
      <c r="P299" s="26">
        <v>0</v>
      </c>
      <c r="Q299" s="26">
        <v>0</v>
      </c>
      <c r="R299" s="26">
        <v>0</v>
      </c>
      <c r="S299" s="26">
        <v>0</v>
      </c>
      <c r="T299" s="27">
        <v>409000</v>
      </c>
      <c r="U299" s="40"/>
      <c r="W299" s="42"/>
      <c r="X299" s="45">
        <v>1345400930</v>
      </c>
    </row>
    <row r="300" spans="1:24" s="39" customFormat="1" ht="24.95" customHeight="1">
      <c r="A300" s="39">
        <v>12</v>
      </c>
      <c r="B300" s="24">
        <v>1345350930</v>
      </c>
      <c r="C300" s="25" t="str">
        <f t="shared" si="82"/>
        <v>930</v>
      </c>
      <c r="D300" s="25" t="str">
        <f t="shared" si="83"/>
        <v>345350</v>
      </c>
      <c r="E300" s="25" t="s">
        <v>304</v>
      </c>
      <c r="F300" s="26">
        <v>545000</v>
      </c>
      <c r="G300" s="26">
        <v>434126</v>
      </c>
      <c r="H300" s="26">
        <f>G300*12/10</f>
        <v>520951.2</v>
      </c>
      <c r="I300" s="26">
        <v>595000</v>
      </c>
      <c r="J300" s="26" t="e">
        <f>VLOOKUP(B300,#REF!,6,0)</f>
        <v>#REF!</v>
      </c>
      <c r="K300" s="26" t="e">
        <f>+J300*1.71428571428571</f>
        <v>#REF!</v>
      </c>
      <c r="L300" s="26">
        <v>550000</v>
      </c>
      <c r="M300" s="26">
        <v>550000</v>
      </c>
      <c r="N300" s="26">
        <v>550000</v>
      </c>
      <c r="O300" s="44" t="e">
        <f>VLOOKUP(B300,[3]כספי!$A$1:$E$324,5,0)</f>
        <v>#N/A</v>
      </c>
      <c r="P300" s="26">
        <f>VLOOKUP(B:B,'[3]תקבולים 2017'!B:R,15,0)</f>
        <v>19000</v>
      </c>
      <c r="Q300" s="26">
        <f>-VLOOKUP(B:B,'[3]דוח כספי 10.17 מעודכן'!A:D,4,0)</f>
        <v>60322</v>
      </c>
      <c r="R300" s="26">
        <f>VLOOKUP(B:B,'[3]תקבולים 2017'!B:T,17,0)</f>
        <v>72000</v>
      </c>
      <c r="S300" s="26">
        <f>Q300/10*12</f>
        <v>72386.399999999994</v>
      </c>
      <c r="T300" s="27">
        <v>0</v>
      </c>
      <c r="U300" s="40">
        <f>IF(ISBLANK(B300),1,--OR(L300&gt;1,M300&gt;1,N300&gt;1))</f>
        <v>1</v>
      </c>
      <c r="V300" s="39">
        <f>+Q300-N300</f>
        <v>-489678</v>
      </c>
      <c r="W300" s="42">
        <f>P300-Q300</f>
        <v>-41322</v>
      </c>
      <c r="X300" s="45"/>
    </row>
    <row r="301" spans="1:24" s="39" customFormat="1" ht="24.95" customHeight="1">
      <c r="A301" s="39">
        <v>12</v>
      </c>
      <c r="B301" s="24">
        <v>1345400930</v>
      </c>
      <c r="C301" s="25" t="str">
        <f t="shared" si="82"/>
        <v>930</v>
      </c>
      <c r="D301" s="25" t="str">
        <f t="shared" si="83"/>
        <v>345400</v>
      </c>
      <c r="E301" s="25" t="s">
        <v>305</v>
      </c>
      <c r="F301" s="26">
        <v>18000</v>
      </c>
      <c r="G301" s="26"/>
      <c r="H301" s="26">
        <f>G301*12/10</f>
        <v>0</v>
      </c>
      <c r="I301" s="26">
        <f>H301</f>
        <v>0</v>
      </c>
      <c r="J301" s="26" t="e">
        <f>VLOOKUP(B301,#REF!,6,0)</f>
        <v>#REF!</v>
      </c>
      <c r="K301" s="26" t="e">
        <f>+J301*1.71428571428571</f>
        <v>#REF!</v>
      </c>
      <c r="L301" s="26">
        <v>20000</v>
      </c>
      <c r="M301" s="26">
        <v>22000</v>
      </c>
      <c r="N301" s="26">
        <v>22000</v>
      </c>
      <c r="O301" s="44" t="e">
        <f>VLOOKUP(B301,[3]כספי!$A$1:$E$324,5,0)</f>
        <v>#N/A</v>
      </c>
      <c r="P301" s="26">
        <f>VLOOKUP(B:B,'[3]תקבולים 2017'!B:R,15,0)</f>
        <v>502000</v>
      </c>
      <c r="Q301" s="26">
        <f>-VLOOKUP(B:B,'[3]דוח כספי 10.17 מעודכן'!A:D,4,0)</f>
        <v>340429</v>
      </c>
      <c r="R301" s="26">
        <f>VLOOKUP(B:B,'[3]תקבולים 2017'!B:T,17,0)</f>
        <v>408000</v>
      </c>
      <c r="S301" s="26">
        <f>Q301/10*12</f>
        <v>408514.80000000005</v>
      </c>
      <c r="T301" s="27">
        <v>0</v>
      </c>
      <c r="U301" s="40">
        <f>IF(ISBLANK(B301),1,--OR(L301&gt;1,M301&gt;1,N301&gt;1))</f>
        <v>1</v>
      </c>
      <c r="V301" s="39">
        <f>+Q301-N301</f>
        <v>318429</v>
      </c>
      <c r="W301" s="42">
        <f>P301-Q301</f>
        <v>161571</v>
      </c>
      <c r="X301" s="45">
        <v>1345301930</v>
      </c>
    </row>
    <row r="302" spans="1:24" s="39" customFormat="1" ht="24.95" customHeight="1">
      <c r="A302" s="39">
        <v>12</v>
      </c>
      <c r="B302" s="24">
        <v>1345401930</v>
      </c>
      <c r="C302" s="25" t="str">
        <f t="shared" si="82"/>
        <v>930</v>
      </c>
      <c r="D302" s="25" t="str">
        <f t="shared" si="83"/>
        <v>345401</v>
      </c>
      <c r="E302" s="25" t="s">
        <v>306</v>
      </c>
      <c r="F302" s="26"/>
      <c r="G302" s="26"/>
      <c r="H302" s="26"/>
      <c r="I302" s="26"/>
      <c r="J302" s="26"/>
      <c r="K302" s="26"/>
      <c r="L302" s="26"/>
      <c r="M302" s="26"/>
      <c r="N302" s="26"/>
      <c r="O302" s="44"/>
      <c r="P302" s="26">
        <v>0</v>
      </c>
      <c r="Q302" s="26">
        <v>0</v>
      </c>
      <c r="R302" s="26">
        <v>0</v>
      </c>
      <c r="S302" s="26">
        <v>0</v>
      </c>
      <c r="T302" s="27">
        <v>453000</v>
      </c>
      <c r="U302" s="40"/>
      <c r="W302" s="42"/>
      <c r="X302" s="45">
        <v>1344400930</v>
      </c>
    </row>
    <row r="303" spans="1:24" s="39" customFormat="1" ht="24.95" hidden="1" customHeight="1">
      <c r="A303" s="39">
        <v>12</v>
      </c>
      <c r="B303" s="24">
        <v>1345500930</v>
      </c>
      <c r="C303" s="25" t="str">
        <f t="shared" si="82"/>
        <v>930</v>
      </c>
      <c r="D303" s="25" t="str">
        <f t="shared" si="83"/>
        <v>345500</v>
      </c>
      <c r="E303" s="25" t="s">
        <v>307</v>
      </c>
      <c r="F303" s="26"/>
      <c r="G303" s="26"/>
      <c r="H303" s="26"/>
      <c r="I303" s="26"/>
      <c r="J303" s="26"/>
      <c r="K303" s="26"/>
      <c r="L303" s="26"/>
      <c r="M303" s="26"/>
      <c r="N303" s="26"/>
      <c r="O303" s="44"/>
      <c r="P303" s="26">
        <v>0</v>
      </c>
      <c r="Q303" s="26">
        <v>0</v>
      </c>
      <c r="R303" s="26">
        <v>0</v>
      </c>
      <c r="S303" s="26">
        <v>0</v>
      </c>
      <c r="T303" s="27">
        <v>0</v>
      </c>
      <c r="U303" s="40"/>
      <c r="W303" s="42"/>
      <c r="X303" s="45" t="s">
        <v>308</v>
      </c>
    </row>
    <row r="304" spans="1:24" ht="24.95" hidden="1" customHeight="1">
      <c r="B304" s="28"/>
      <c r="C304" s="29"/>
      <c r="D304" s="29"/>
      <c r="E304" s="29"/>
      <c r="F304" s="30"/>
      <c r="G304" s="30"/>
      <c r="H304" s="30"/>
      <c r="I304" s="30"/>
      <c r="J304" s="30"/>
      <c r="K304" s="30"/>
      <c r="L304" s="30"/>
      <c r="M304" s="30"/>
      <c r="N304" s="30"/>
      <c r="O304" s="71"/>
      <c r="P304" s="30"/>
      <c r="Q304" s="30"/>
      <c r="R304" s="30"/>
      <c r="S304" s="30"/>
      <c r="T304" s="31"/>
      <c r="U304" s="12">
        <f>IF(ISBLANK(B304),1,--OR(L304&gt;1,M304&gt;1,N304&gt;1))</f>
        <v>1</v>
      </c>
      <c r="V304" s="22">
        <f>+Q304-N304</f>
        <v>0</v>
      </c>
      <c r="W304" s="23">
        <f>P304-Q304</f>
        <v>0</v>
      </c>
      <c r="X304" s="45"/>
    </row>
    <row r="305" spans="1:24" ht="24.95" customHeight="1">
      <c r="B305" s="28"/>
      <c r="C305" s="29"/>
      <c r="D305" s="29"/>
      <c r="E305" s="29" t="s">
        <v>309</v>
      </c>
      <c r="F305" s="30">
        <f t="shared" ref="F305:O305" si="84">SUM(F296:F302)</f>
        <v>670000</v>
      </c>
      <c r="G305" s="30">
        <f t="shared" si="84"/>
        <v>565249</v>
      </c>
      <c r="H305" s="30">
        <f t="shared" si="84"/>
        <v>730740.4</v>
      </c>
      <c r="I305" s="30">
        <f t="shared" si="84"/>
        <v>812000</v>
      </c>
      <c r="J305" s="30" t="e">
        <f t="shared" si="84"/>
        <v>#REF!</v>
      </c>
      <c r="K305" s="30" t="e">
        <f t="shared" si="84"/>
        <v>#REF!</v>
      </c>
      <c r="L305" s="30">
        <f t="shared" si="84"/>
        <v>825000</v>
      </c>
      <c r="M305" s="30">
        <f t="shared" si="84"/>
        <v>757000</v>
      </c>
      <c r="N305" s="30">
        <f t="shared" si="84"/>
        <v>757000</v>
      </c>
      <c r="O305" s="30" t="e">
        <f t="shared" si="84"/>
        <v>#N/A</v>
      </c>
      <c r="P305" s="30">
        <f>SUM(P287:P304)</f>
        <v>1739000</v>
      </c>
      <c r="Q305" s="30">
        <f t="shared" ref="Q305:T305" si="85">SUM(Q287:Q304)</f>
        <v>1364432</v>
      </c>
      <c r="R305" s="30">
        <f t="shared" si="85"/>
        <v>1636000</v>
      </c>
      <c r="S305" s="30">
        <f t="shared" si="85"/>
        <v>1637318.4</v>
      </c>
      <c r="T305" s="31">
        <f t="shared" si="85"/>
        <v>1596500</v>
      </c>
      <c r="U305" s="12">
        <f>IF(ISBLANK(B305),1,--OR(L305&gt;1,M305&gt;1,N305&gt;1))</f>
        <v>1</v>
      </c>
      <c r="V305" s="22">
        <f>+Q305-N305</f>
        <v>607432</v>
      </c>
      <c r="W305" s="23">
        <f>P305-Q305</f>
        <v>374568</v>
      </c>
      <c r="X305" s="43"/>
    </row>
    <row r="306" spans="1:24" ht="24.95" customHeight="1">
      <c r="A306" s="1">
        <v>12</v>
      </c>
      <c r="B306" s="24">
        <v>1346005930</v>
      </c>
      <c r="C306" s="25" t="str">
        <f t="shared" ref="C306:C324" si="86">MID(B306,8,3)</f>
        <v>930</v>
      </c>
      <c r="D306" s="25" t="str">
        <f t="shared" ref="D306:D324" si="87">MID(B306,2,6)</f>
        <v>346005</v>
      </c>
      <c r="E306" s="25" t="s">
        <v>310</v>
      </c>
      <c r="F306" s="26"/>
      <c r="G306" s="26"/>
      <c r="H306" s="26"/>
      <c r="I306" s="26"/>
      <c r="J306" s="26"/>
      <c r="K306" s="26"/>
      <c r="L306" s="26"/>
      <c r="M306" s="26"/>
      <c r="N306" s="26"/>
      <c r="O306" s="44"/>
      <c r="P306" s="26">
        <v>0</v>
      </c>
      <c r="Q306" s="26">
        <v>0</v>
      </c>
      <c r="R306" s="26">
        <v>0</v>
      </c>
      <c r="S306" s="26">
        <v>0</v>
      </c>
      <c r="T306" s="27">
        <v>85000</v>
      </c>
      <c r="U306" s="46"/>
      <c r="V306" s="47"/>
      <c r="W306" s="48"/>
      <c r="X306" s="45">
        <v>1346800930</v>
      </c>
    </row>
    <row r="307" spans="1:24" ht="24.95" customHeight="1">
      <c r="A307" s="1">
        <v>12</v>
      </c>
      <c r="B307" s="24">
        <v>1346006930</v>
      </c>
      <c r="C307" s="25" t="str">
        <f t="shared" si="86"/>
        <v>930</v>
      </c>
      <c r="D307" s="25" t="str">
        <f t="shared" si="87"/>
        <v>346006</v>
      </c>
      <c r="E307" s="25" t="s">
        <v>307</v>
      </c>
      <c r="F307" s="26"/>
      <c r="G307" s="26"/>
      <c r="H307" s="26"/>
      <c r="I307" s="26"/>
      <c r="J307" s="26"/>
      <c r="K307" s="26"/>
      <c r="L307" s="26"/>
      <c r="M307" s="26"/>
      <c r="N307" s="26"/>
      <c r="O307" s="44"/>
      <c r="P307" s="26">
        <v>0</v>
      </c>
      <c r="Q307" s="26">
        <v>0</v>
      </c>
      <c r="R307" s="26">
        <v>0</v>
      </c>
      <c r="S307" s="26">
        <v>0</v>
      </c>
      <c r="T307" s="27">
        <v>24000</v>
      </c>
      <c r="U307" s="46"/>
      <c r="V307" s="47"/>
      <c r="W307" s="48"/>
      <c r="X307" s="45">
        <v>1343500930</v>
      </c>
    </row>
    <row r="308" spans="1:24" ht="24.95" customHeight="1">
      <c r="A308" s="1">
        <v>12</v>
      </c>
      <c r="B308" s="24">
        <v>1346105930</v>
      </c>
      <c r="C308" s="25" t="str">
        <f t="shared" si="86"/>
        <v>930</v>
      </c>
      <c r="D308" s="25" t="str">
        <f t="shared" si="87"/>
        <v>346105</v>
      </c>
      <c r="E308" s="25" t="s">
        <v>311</v>
      </c>
      <c r="F308" s="26"/>
      <c r="G308" s="26"/>
      <c r="H308" s="26"/>
      <c r="I308" s="26"/>
      <c r="J308" s="26"/>
      <c r="K308" s="26"/>
      <c r="L308" s="26"/>
      <c r="M308" s="26"/>
      <c r="N308" s="26"/>
      <c r="O308" s="44"/>
      <c r="P308" s="26">
        <v>0</v>
      </c>
      <c r="Q308" s="26">
        <v>0</v>
      </c>
      <c r="R308" s="26">
        <v>0</v>
      </c>
      <c r="S308" s="26">
        <v>0</v>
      </c>
      <c r="T308" s="27">
        <v>26000</v>
      </c>
      <c r="U308" s="46"/>
      <c r="V308" s="47"/>
      <c r="W308" s="48"/>
      <c r="X308" s="45">
        <v>1346800930</v>
      </c>
    </row>
    <row r="309" spans="1:24" ht="24.95" customHeight="1">
      <c r="A309" s="1">
        <v>12</v>
      </c>
      <c r="B309" s="24">
        <v>1346300930</v>
      </c>
      <c r="C309" s="25" t="str">
        <f t="shared" si="86"/>
        <v>930</v>
      </c>
      <c r="D309" s="25" t="str">
        <f t="shared" si="87"/>
        <v>346300</v>
      </c>
      <c r="E309" s="25" t="s">
        <v>312</v>
      </c>
      <c r="F309" s="26"/>
      <c r="G309" s="26"/>
      <c r="H309" s="26"/>
      <c r="I309" s="26"/>
      <c r="J309" s="26"/>
      <c r="K309" s="26"/>
      <c r="L309" s="26"/>
      <c r="M309" s="26"/>
      <c r="N309" s="26"/>
      <c r="O309" s="44"/>
      <c r="P309" s="26">
        <v>0</v>
      </c>
      <c r="Q309" s="26">
        <v>0</v>
      </c>
      <c r="R309" s="26">
        <v>0</v>
      </c>
      <c r="S309" s="26">
        <v>0</v>
      </c>
      <c r="T309" s="27">
        <v>11000</v>
      </c>
      <c r="U309" s="46"/>
      <c r="V309" s="47"/>
      <c r="W309" s="48"/>
      <c r="X309" s="45"/>
    </row>
    <row r="310" spans="1:24" ht="24.95" customHeight="1">
      <c r="A310" s="1">
        <v>12</v>
      </c>
      <c r="B310" s="24">
        <v>1346350930</v>
      </c>
      <c r="C310" s="25" t="str">
        <f t="shared" si="86"/>
        <v>930</v>
      </c>
      <c r="D310" s="25" t="str">
        <f t="shared" si="87"/>
        <v>346350</v>
      </c>
      <c r="E310" s="25" t="s">
        <v>304</v>
      </c>
      <c r="F310" s="26"/>
      <c r="G310" s="26"/>
      <c r="H310" s="26"/>
      <c r="I310" s="26"/>
      <c r="J310" s="26"/>
      <c r="K310" s="26"/>
      <c r="L310" s="26"/>
      <c r="M310" s="26"/>
      <c r="N310" s="26"/>
      <c r="O310" s="44"/>
      <c r="P310" s="26">
        <v>0</v>
      </c>
      <c r="Q310" s="26">
        <v>0</v>
      </c>
      <c r="R310" s="26">
        <v>0</v>
      </c>
      <c r="S310" s="26">
        <v>0</v>
      </c>
      <c r="T310" s="27">
        <v>73000</v>
      </c>
      <c r="U310" s="46"/>
      <c r="V310" s="47"/>
      <c r="W310" s="48"/>
      <c r="X310" s="45">
        <v>1345350930</v>
      </c>
    </row>
    <row r="311" spans="1:24" s="39" customFormat="1" ht="24.95" customHeight="1">
      <c r="A311" s="39">
        <v>12</v>
      </c>
      <c r="B311" s="24">
        <v>1346400930</v>
      </c>
      <c r="C311" s="25" t="str">
        <f t="shared" si="86"/>
        <v>930</v>
      </c>
      <c r="D311" s="25" t="str">
        <f t="shared" si="87"/>
        <v>346400</v>
      </c>
      <c r="E311" s="25" t="s">
        <v>313</v>
      </c>
      <c r="F311" s="26"/>
      <c r="G311" s="26">
        <v>3720</v>
      </c>
      <c r="H311" s="26">
        <f>G311*12/10</f>
        <v>4464</v>
      </c>
      <c r="I311" s="26">
        <v>4500</v>
      </c>
      <c r="J311" s="26" t="e">
        <f>VLOOKUP(B311,#REF!,6,0)</f>
        <v>#REF!</v>
      </c>
      <c r="K311" s="26" t="e">
        <f>+J311*1.71428571428571</f>
        <v>#REF!</v>
      </c>
      <c r="L311" s="26">
        <v>5000</v>
      </c>
      <c r="M311" s="26">
        <v>5000</v>
      </c>
      <c r="N311" s="26">
        <v>5000</v>
      </c>
      <c r="O311" s="44">
        <f>VLOOKUP(B311,[3]כספי!$A$1:$E$324,5,0)</f>
        <v>0</v>
      </c>
      <c r="P311" s="26">
        <f>VLOOKUP(B:B,'[3]תקבולים 2017'!B:R,15,0)</f>
        <v>10000</v>
      </c>
      <c r="Q311" s="26">
        <f>-VLOOKUP(B:B,'[3]דוח כספי 10.17 מעודכן'!A:D,4,0)</f>
        <v>8788</v>
      </c>
      <c r="R311" s="26">
        <f>VLOOKUP(B:B,'[3]תקבולים 2017'!B:T,17,0)</f>
        <v>11000</v>
      </c>
      <c r="S311" s="26">
        <f>Q311/10*12</f>
        <v>10545.599999999999</v>
      </c>
      <c r="T311" s="27"/>
      <c r="U311" s="40">
        <f>IF(ISBLANK(B311),1,--OR(L311&gt;1,M311&gt;1,N311&gt;1))</f>
        <v>1</v>
      </c>
      <c r="V311" s="39">
        <f>+Q311-N311</f>
        <v>3788</v>
      </c>
      <c r="W311" s="42">
        <f>P311-Q311</f>
        <v>1212</v>
      </c>
      <c r="X311" s="45">
        <v>1346300930</v>
      </c>
    </row>
    <row r="312" spans="1:24" s="39" customFormat="1" ht="24.95" customHeight="1">
      <c r="A312" s="39">
        <v>12</v>
      </c>
      <c r="B312" s="24">
        <v>1346410930</v>
      </c>
      <c r="C312" s="25" t="str">
        <f t="shared" si="86"/>
        <v>930</v>
      </c>
      <c r="D312" s="25" t="str">
        <f t="shared" si="87"/>
        <v>346410</v>
      </c>
      <c r="E312" s="25" t="s">
        <v>314</v>
      </c>
      <c r="F312" s="26"/>
      <c r="G312" s="26"/>
      <c r="H312" s="26"/>
      <c r="I312" s="26"/>
      <c r="J312" s="26">
        <v>5145</v>
      </c>
      <c r="K312" s="26">
        <v>5145</v>
      </c>
      <c r="L312" s="26">
        <v>5145</v>
      </c>
      <c r="M312" s="26">
        <v>7000</v>
      </c>
      <c r="N312" s="26">
        <v>7000</v>
      </c>
      <c r="O312" s="44" t="e">
        <f>VLOOKUP(B312,[3]כספי!$A$1:$E$324,5,0)</f>
        <v>#N/A</v>
      </c>
      <c r="P312" s="26">
        <f>VLOOKUP(B:B,'[3]תקבולים 2017'!B:R,15,0)</f>
        <v>0</v>
      </c>
      <c r="Q312" s="26">
        <f>-VLOOKUP(B:B,'[3]דוח כספי 10.17 מעודכן'!A:D,4,0)</f>
        <v>0</v>
      </c>
      <c r="R312" s="26">
        <f>VLOOKUP(B:B,'[3]תקבולים 2017'!B:T,17,0)</f>
        <v>0</v>
      </c>
      <c r="S312" s="26">
        <f>Q312/10*12</f>
        <v>0</v>
      </c>
      <c r="T312" s="27">
        <v>0</v>
      </c>
      <c r="U312" s="40">
        <f>IF(ISBLANK(B312),1,--OR(L312&gt;1,M312&gt;1,N312&gt;1))</f>
        <v>1</v>
      </c>
      <c r="V312" s="39">
        <f>+Q312-N312</f>
        <v>-7000</v>
      </c>
      <c r="W312" s="42">
        <f>P312-Q312</f>
        <v>0</v>
      </c>
      <c r="X312" s="45"/>
    </row>
    <row r="313" spans="1:24" s="39" customFormat="1" ht="24.95" customHeight="1">
      <c r="A313" s="39">
        <v>12</v>
      </c>
      <c r="B313" s="24">
        <v>1346411930</v>
      </c>
      <c r="C313" s="25" t="str">
        <f t="shared" si="86"/>
        <v>930</v>
      </c>
      <c r="D313" s="25" t="str">
        <f t="shared" si="87"/>
        <v>346411</v>
      </c>
      <c r="E313" s="25" t="s">
        <v>315</v>
      </c>
      <c r="F313" s="26"/>
      <c r="G313" s="26"/>
      <c r="H313" s="26"/>
      <c r="I313" s="26"/>
      <c r="J313" s="26"/>
      <c r="K313" s="26"/>
      <c r="L313" s="26"/>
      <c r="M313" s="26"/>
      <c r="N313" s="26"/>
      <c r="O313" s="44"/>
      <c r="P313" s="26">
        <v>0</v>
      </c>
      <c r="Q313" s="26">
        <v>0</v>
      </c>
      <c r="R313" s="26">
        <v>0</v>
      </c>
      <c r="S313" s="26">
        <v>0</v>
      </c>
      <c r="T313" s="27">
        <v>10000</v>
      </c>
      <c r="U313" s="40"/>
      <c r="W313" s="42"/>
      <c r="X313" s="45">
        <v>1346800930</v>
      </c>
    </row>
    <row r="314" spans="1:24" s="39" customFormat="1" ht="24.95" hidden="1" customHeight="1">
      <c r="A314" s="39">
        <v>12</v>
      </c>
      <c r="B314" s="24">
        <v>1346500930</v>
      </c>
      <c r="C314" s="25" t="str">
        <f t="shared" si="86"/>
        <v>930</v>
      </c>
      <c r="D314" s="25" t="str">
        <f t="shared" si="87"/>
        <v>346500</v>
      </c>
      <c r="E314" s="25" t="s">
        <v>307</v>
      </c>
      <c r="F314" s="26"/>
      <c r="G314" s="26"/>
      <c r="H314" s="26"/>
      <c r="I314" s="26"/>
      <c r="J314" s="26"/>
      <c r="K314" s="26"/>
      <c r="L314" s="26"/>
      <c r="M314" s="26"/>
      <c r="N314" s="26"/>
      <c r="O314" s="44"/>
      <c r="P314" s="26">
        <v>0</v>
      </c>
      <c r="Q314" s="26">
        <v>0</v>
      </c>
      <c r="R314" s="26">
        <v>0</v>
      </c>
      <c r="S314" s="26">
        <v>0</v>
      </c>
      <c r="T314" s="27">
        <v>0</v>
      </c>
      <c r="U314" s="40"/>
      <c r="W314" s="42"/>
      <c r="X314" s="45">
        <v>1345500930</v>
      </c>
    </row>
    <row r="315" spans="1:24" s="39" customFormat="1" ht="24.95" customHeight="1">
      <c r="A315" s="39">
        <v>12</v>
      </c>
      <c r="B315" s="24">
        <v>1346610930</v>
      </c>
      <c r="C315" s="25" t="str">
        <f t="shared" si="86"/>
        <v>930</v>
      </c>
      <c r="D315" s="25" t="str">
        <f t="shared" si="87"/>
        <v>346610</v>
      </c>
      <c r="E315" s="25" t="s">
        <v>316</v>
      </c>
      <c r="F315" s="26"/>
      <c r="G315" s="26"/>
      <c r="H315" s="26"/>
      <c r="I315" s="26"/>
      <c r="J315" s="26">
        <v>15431</v>
      </c>
      <c r="K315" s="26">
        <f>+J315*1.71428571428571</f>
        <v>26453.14285714279</v>
      </c>
      <c r="L315" s="26">
        <v>20431</v>
      </c>
      <c r="M315" s="26">
        <v>23300</v>
      </c>
      <c r="N315" s="26">
        <v>23300</v>
      </c>
      <c r="O315" s="44" t="e">
        <f>VLOOKUP(B315,[3]כספי!$A$1:$E$324,5,0)</f>
        <v>#N/A</v>
      </c>
      <c r="P315" s="26">
        <f>VLOOKUP(B:B,'[3]תקבולים 2017'!B:R,15,0)</f>
        <v>82000</v>
      </c>
      <c r="Q315" s="26">
        <f>-VLOOKUP(B:B,'[3]דוח כספי 10.17 מעודכן'!A:D,4,0)</f>
        <v>69410</v>
      </c>
      <c r="R315" s="26">
        <f>VLOOKUP(B:B,'[3]תקבולים 2017'!B:T,17,0)</f>
        <v>83000</v>
      </c>
      <c r="S315" s="26">
        <f>Q315/10*12</f>
        <v>83292</v>
      </c>
      <c r="T315" s="27">
        <v>0</v>
      </c>
      <c r="U315" s="40">
        <f>IF(ISBLANK(B315),1,--OR(L315&gt;1,M315&gt;1,N315&gt;1))</f>
        <v>1</v>
      </c>
      <c r="V315" s="39">
        <f>+Q315-N315</f>
        <v>46110</v>
      </c>
      <c r="W315" s="42">
        <f>P315-Q315</f>
        <v>12590</v>
      </c>
      <c r="X315" s="45">
        <v>1343102930</v>
      </c>
    </row>
    <row r="316" spans="1:24" s="39" customFormat="1" ht="24.95" customHeight="1">
      <c r="A316" s="39">
        <v>12</v>
      </c>
      <c r="B316" s="24">
        <v>1346700930</v>
      </c>
      <c r="C316" s="25" t="str">
        <f t="shared" si="86"/>
        <v>930</v>
      </c>
      <c r="D316" s="25" t="str">
        <f t="shared" si="87"/>
        <v>346700</v>
      </c>
      <c r="E316" s="25" t="s">
        <v>271</v>
      </c>
      <c r="F316" s="26"/>
      <c r="G316" s="26"/>
      <c r="H316" s="26"/>
      <c r="I316" s="26"/>
      <c r="J316" s="26"/>
      <c r="K316" s="26"/>
      <c r="L316" s="26"/>
      <c r="M316" s="26"/>
      <c r="N316" s="26"/>
      <c r="O316" s="44"/>
      <c r="P316" s="26">
        <f>VLOOKUP(B:B,'[3]תקבולים 2017'!B:R,15,0)</f>
        <v>40000</v>
      </c>
      <c r="Q316" s="26">
        <f>-VLOOKUP(B:B,'[3]דוח כספי 10.17 מעודכן'!A:D,4,0)</f>
        <v>47932</v>
      </c>
      <c r="R316" s="26">
        <f>VLOOKUP(B:B,'[3]תקבולים 2017'!B:T,17,0)</f>
        <v>58000</v>
      </c>
      <c r="S316" s="26">
        <f>Q316/10*12</f>
        <v>57518.399999999994</v>
      </c>
      <c r="T316" s="27">
        <v>0</v>
      </c>
      <c r="U316" s="40"/>
      <c r="W316" s="42">
        <f>P316-Q316</f>
        <v>-7932</v>
      </c>
      <c r="X316" s="45">
        <v>1342501930</v>
      </c>
    </row>
    <row r="317" spans="1:24" s="39" customFormat="1" ht="24.95" customHeight="1">
      <c r="A317" s="39">
        <v>12</v>
      </c>
      <c r="B317" s="24">
        <v>1346800930</v>
      </c>
      <c r="C317" s="25" t="str">
        <f t="shared" si="86"/>
        <v>930</v>
      </c>
      <c r="D317" s="25" t="str">
        <f t="shared" si="87"/>
        <v>346800</v>
      </c>
      <c r="E317" s="25" t="s">
        <v>315</v>
      </c>
      <c r="F317" s="26"/>
      <c r="G317" s="26"/>
      <c r="H317" s="26"/>
      <c r="I317" s="26"/>
      <c r="J317" s="26"/>
      <c r="K317" s="26"/>
      <c r="L317" s="26"/>
      <c r="M317" s="26"/>
      <c r="N317" s="26"/>
      <c r="O317" s="44" t="e">
        <f>VLOOKUP(B317,[3]כספי!$A$1:$E$324,5,0)</f>
        <v>#N/A</v>
      </c>
      <c r="P317" s="26">
        <f>VLOOKUP(B:B,'[3]תקבולים 2017'!B:R,15,0)</f>
        <v>167000</v>
      </c>
      <c r="Q317" s="26">
        <f>-VLOOKUP(B:B,'[3]דוח כספי 10.17 מעודכן'!A:D,4,0)</f>
        <v>126986</v>
      </c>
      <c r="R317" s="26">
        <f>VLOOKUP(B:B,'[3]תקבולים 2017'!B:T,17,0)</f>
        <v>152000</v>
      </c>
      <c r="S317" s="26">
        <f>Q317/10*12</f>
        <v>152383.20000000001</v>
      </c>
      <c r="T317" s="27">
        <v>0</v>
      </c>
      <c r="U317" s="40"/>
      <c r="V317" s="39">
        <f>+Q317-N317</f>
        <v>126986</v>
      </c>
      <c r="W317" s="42">
        <f>P317-Q317</f>
        <v>40014</v>
      </c>
      <c r="X317" s="45">
        <v>1346411930</v>
      </c>
    </row>
    <row r="318" spans="1:24" s="39" customFormat="1" ht="24.95" customHeight="1">
      <c r="A318" s="39">
        <v>12</v>
      </c>
      <c r="B318" s="24">
        <v>1347006930</v>
      </c>
      <c r="C318" s="25" t="str">
        <f t="shared" si="86"/>
        <v>930</v>
      </c>
      <c r="D318" s="25" t="str">
        <f t="shared" si="87"/>
        <v>347006</v>
      </c>
      <c r="E318" s="25" t="s">
        <v>317</v>
      </c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>
        <v>0</v>
      </c>
      <c r="Q318" s="26">
        <v>0</v>
      </c>
      <c r="R318" s="26">
        <v>0</v>
      </c>
      <c r="S318" s="26">
        <v>0</v>
      </c>
      <c r="T318" s="27">
        <v>55000</v>
      </c>
      <c r="U318" s="40"/>
      <c r="W318" s="42"/>
      <c r="X318" s="59"/>
    </row>
    <row r="319" spans="1:24" s="39" customFormat="1" ht="24.95" customHeight="1">
      <c r="A319" s="39">
        <v>12</v>
      </c>
      <c r="B319" s="24">
        <v>1347007930</v>
      </c>
      <c r="C319" s="25" t="str">
        <f t="shared" si="86"/>
        <v>930</v>
      </c>
      <c r="D319" s="25" t="str">
        <f t="shared" si="87"/>
        <v>347007</v>
      </c>
      <c r="E319" s="25" t="s">
        <v>318</v>
      </c>
      <c r="F319" s="26"/>
      <c r="G319" s="26"/>
      <c r="H319" s="26"/>
      <c r="I319" s="26"/>
      <c r="J319" s="26"/>
      <c r="K319" s="26"/>
      <c r="L319" s="26"/>
      <c r="M319" s="26"/>
      <c r="N319" s="26"/>
      <c r="O319" s="44"/>
      <c r="P319" s="26">
        <v>0</v>
      </c>
      <c r="Q319" s="26">
        <v>0</v>
      </c>
      <c r="R319" s="26">
        <v>0</v>
      </c>
      <c r="S319" s="26">
        <v>0</v>
      </c>
      <c r="T319" s="27">
        <v>13000</v>
      </c>
      <c r="U319" s="40"/>
      <c r="W319" s="42"/>
      <c r="X319" s="45"/>
    </row>
    <row r="320" spans="1:24" s="39" customFormat="1" ht="24.95" customHeight="1">
      <c r="A320" s="39">
        <v>12</v>
      </c>
      <c r="B320" s="24">
        <v>1347100930</v>
      </c>
      <c r="C320" s="25" t="str">
        <f t="shared" si="86"/>
        <v>930</v>
      </c>
      <c r="D320" s="25" t="str">
        <f t="shared" si="87"/>
        <v>347100</v>
      </c>
      <c r="E320" s="25" t="s">
        <v>319</v>
      </c>
      <c r="F320" s="26"/>
      <c r="G320" s="26"/>
      <c r="H320" s="26"/>
      <c r="I320" s="26"/>
      <c r="J320" s="26"/>
      <c r="K320" s="26"/>
      <c r="L320" s="26"/>
      <c r="M320" s="26"/>
      <c r="N320" s="26"/>
      <c r="O320" s="44"/>
      <c r="P320" s="26">
        <f>VLOOKUP(B:B,'[3]תקבולים 2017'!B:R,15,0)</f>
        <v>4000</v>
      </c>
      <c r="Q320" s="26">
        <f>-VLOOKUP(B:B,'[3]דוח כספי 10.17 מעודכן'!A:D,4,0)</f>
        <v>47178</v>
      </c>
      <c r="R320" s="26">
        <f>VLOOKUP(B:B,'[3]תקבולים 2017'!B:T,17,0)</f>
        <v>57000</v>
      </c>
      <c r="S320" s="26">
        <f>Q320/10*12</f>
        <v>56613.600000000006</v>
      </c>
      <c r="T320" s="27">
        <v>0</v>
      </c>
      <c r="U320" s="40"/>
      <c r="W320" s="42">
        <f>P320-Q320</f>
        <v>-43178</v>
      </c>
      <c r="X320" s="45">
        <v>1342003930</v>
      </c>
    </row>
    <row r="321" spans="1:24" ht="24.95" hidden="1" customHeight="1">
      <c r="A321" s="1">
        <v>12</v>
      </c>
      <c r="B321" s="24">
        <v>1347200930</v>
      </c>
      <c r="C321" s="25" t="str">
        <f t="shared" si="86"/>
        <v>930</v>
      </c>
      <c r="D321" s="25" t="str">
        <f t="shared" si="87"/>
        <v>347200</v>
      </c>
      <c r="E321" s="25" t="s">
        <v>320</v>
      </c>
      <c r="F321" s="26"/>
      <c r="G321" s="26"/>
      <c r="H321" s="26"/>
      <c r="I321" s="26"/>
      <c r="J321" s="26"/>
      <c r="K321" s="26"/>
      <c r="L321" s="26"/>
      <c r="M321" s="26"/>
      <c r="N321" s="26"/>
      <c r="O321" s="44"/>
      <c r="P321" s="26">
        <f>VLOOKUP(B:B,'[3]תקבולים 2017'!B:R,15,0)</f>
        <v>0</v>
      </c>
      <c r="Q321" s="26">
        <f>-VLOOKUP(B:B,'[3]דוח כספי 10.17 מעודכן'!A:D,4,0)</f>
        <v>0</v>
      </c>
      <c r="R321" s="26">
        <f>VLOOKUP(B:B,'[3]תקבולים 2017'!B:T,17,0)</f>
        <v>0</v>
      </c>
      <c r="S321" s="26">
        <f>Q321/10*12</f>
        <v>0</v>
      </c>
      <c r="T321" s="27">
        <v>0</v>
      </c>
      <c r="U321" s="46"/>
      <c r="V321" s="47"/>
      <c r="W321" s="48">
        <f>P321-Q321</f>
        <v>0</v>
      </c>
      <c r="X321" s="45"/>
    </row>
    <row r="322" spans="1:24" ht="24.95" customHeight="1">
      <c r="A322" s="1">
        <v>12</v>
      </c>
      <c r="B322" s="24">
        <v>1347210930</v>
      </c>
      <c r="C322" s="25" t="str">
        <f t="shared" si="86"/>
        <v>930</v>
      </c>
      <c r="D322" s="25" t="str">
        <f t="shared" si="87"/>
        <v>347210</v>
      </c>
      <c r="E322" s="25" t="s">
        <v>266</v>
      </c>
      <c r="F322" s="26"/>
      <c r="G322" s="26"/>
      <c r="H322" s="26"/>
      <c r="I322" s="26"/>
      <c r="J322" s="26"/>
      <c r="K322" s="26"/>
      <c r="L322" s="26"/>
      <c r="M322" s="26"/>
      <c r="N322" s="26"/>
      <c r="O322" s="44"/>
      <c r="P322" s="26">
        <v>0</v>
      </c>
      <c r="Q322" s="26">
        <v>0</v>
      </c>
      <c r="R322" s="26">
        <v>0</v>
      </c>
      <c r="S322" s="26">
        <v>0</v>
      </c>
      <c r="T322" s="27">
        <v>220000</v>
      </c>
      <c r="U322" s="46"/>
      <c r="V322" s="47"/>
      <c r="W322" s="48"/>
      <c r="X322" s="45"/>
    </row>
    <row r="323" spans="1:24" ht="24.95" hidden="1" customHeight="1">
      <c r="A323" s="1">
        <v>12</v>
      </c>
      <c r="B323" s="24">
        <v>1347300990</v>
      </c>
      <c r="C323" s="25" t="str">
        <f t="shared" si="86"/>
        <v>990</v>
      </c>
      <c r="D323" s="25" t="str">
        <f t="shared" si="87"/>
        <v>347300</v>
      </c>
      <c r="E323" s="25" t="s">
        <v>321</v>
      </c>
      <c r="F323" s="26"/>
      <c r="G323" s="26"/>
      <c r="H323" s="26"/>
      <c r="I323" s="26"/>
      <c r="J323" s="26"/>
      <c r="K323" s="26"/>
      <c r="L323" s="26"/>
      <c r="M323" s="26"/>
      <c r="N323" s="26"/>
      <c r="O323" s="44"/>
      <c r="P323" s="26">
        <f>VLOOKUP(B:B,'[3]תקבולים 2017'!B:R,15,0)</f>
        <v>0</v>
      </c>
      <c r="Q323" s="26">
        <f>-VLOOKUP(B:B,'[3]דוח כספי 10.17 מעודכן'!A:D,4,0)</f>
        <v>0</v>
      </c>
      <c r="R323" s="26">
        <f>VLOOKUP(B:B,'[3]תקבולים 2017'!B:T,17,0)</f>
        <v>0</v>
      </c>
      <c r="S323" s="26">
        <f>Q323/10*12</f>
        <v>0</v>
      </c>
      <c r="T323" s="27">
        <v>0</v>
      </c>
      <c r="U323" s="46"/>
      <c r="V323" s="47"/>
      <c r="W323" s="48">
        <f>P323-Q323</f>
        <v>0</v>
      </c>
      <c r="X323" s="45"/>
    </row>
    <row r="324" spans="1:24" ht="24.95" customHeight="1">
      <c r="A324" s="1">
        <v>12</v>
      </c>
      <c r="B324" s="24">
        <v>1347400930</v>
      </c>
      <c r="C324" s="25" t="str">
        <f t="shared" si="86"/>
        <v>930</v>
      </c>
      <c r="D324" s="25" t="str">
        <f t="shared" si="87"/>
        <v>347400</v>
      </c>
      <c r="E324" s="25" t="s">
        <v>322</v>
      </c>
      <c r="F324" s="26"/>
      <c r="G324" s="26"/>
      <c r="H324" s="26"/>
      <c r="I324" s="26"/>
      <c r="J324" s="26"/>
      <c r="K324" s="26"/>
      <c r="L324" s="26"/>
      <c r="M324" s="26"/>
      <c r="N324" s="26"/>
      <c r="O324" s="44"/>
      <c r="P324" s="26">
        <v>0</v>
      </c>
      <c r="Q324" s="26">
        <v>0</v>
      </c>
      <c r="R324" s="26">
        <v>0</v>
      </c>
      <c r="S324" s="26">
        <v>0</v>
      </c>
      <c r="T324" s="27">
        <v>32000</v>
      </c>
      <c r="U324" s="46"/>
      <c r="V324" s="47"/>
      <c r="W324" s="48"/>
      <c r="X324" s="45"/>
    </row>
    <row r="325" spans="1:24" ht="24.95" hidden="1" customHeight="1">
      <c r="B325" s="28"/>
      <c r="C325" s="29"/>
      <c r="D325" s="29"/>
      <c r="E325" s="29"/>
      <c r="F325" s="30"/>
      <c r="G325" s="30"/>
      <c r="H325" s="30"/>
      <c r="I325" s="30"/>
      <c r="J325" s="30"/>
      <c r="K325" s="30"/>
      <c r="L325" s="30"/>
      <c r="M325" s="30"/>
      <c r="N325" s="30"/>
      <c r="O325" s="71"/>
      <c r="P325" s="30"/>
      <c r="Q325" s="30"/>
      <c r="R325" s="30"/>
      <c r="S325" s="30"/>
      <c r="T325" s="31"/>
      <c r="U325" s="12">
        <f>IF(ISBLANK(B325),1,--OR(L325&gt;1,M325&gt;1,N325&gt;1))</f>
        <v>1</v>
      </c>
      <c r="V325" s="22">
        <f>+Q325-N325</f>
        <v>0</v>
      </c>
      <c r="W325" s="23">
        <f>P325-Q325</f>
        <v>0</v>
      </c>
      <c r="X325" s="45"/>
    </row>
    <row r="326" spans="1:24" ht="24.95" customHeight="1">
      <c r="B326" s="28"/>
      <c r="C326" s="29"/>
      <c r="D326" s="29"/>
      <c r="E326" s="29" t="s">
        <v>323</v>
      </c>
      <c r="F326" s="30" t="e">
        <f>SUM(#REF!)</f>
        <v>#REF!</v>
      </c>
      <c r="G326" s="30" t="e">
        <f>SUM(#REF!)</f>
        <v>#REF!</v>
      </c>
      <c r="H326" s="30" t="e">
        <f>SUM(#REF!)</f>
        <v>#REF!</v>
      </c>
      <c r="I326" s="30" t="e">
        <f>SUM(#REF!)</f>
        <v>#REF!</v>
      </c>
      <c r="J326" s="30" t="e">
        <f>SUM(#REF!)</f>
        <v>#REF!</v>
      </c>
      <c r="K326" s="30" t="e">
        <f>SUM(#REF!)</f>
        <v>#REF!</v>
      </c>
      <c r="L326" s="30" t="e">
        <f>SUM(#REF!)</f>
        <v>#REF!</v>
      </c>
      <c r="M326" s="30" t="e">
        <f>SUM(#REF!)</f>
        <v>#REF!</v>
      </c>
      <c r="N326" s="30" t="e">
        <f>SUM(#REF!)</f>
        <v>#REF!</v>
      </c>
      <c r="O326" s="30" t="e">
        <f>SUM(#REF!)</f>
        <v>#REF!</v>
      </c>
      <c r="P326" s="30">
        <f>SUM(P306:P325)</f>
        <v>303000</v>
      </c>
      <c r="Q326" s="30">
        <f t="shared" ref="Q326:T326" si="88">SUM(Q306:Q325)</f>
        <v>300294</v>
      </c>
      <c r="R326" s="30">
        <f t="shared" si="88"/>
        <v>361000</v>
      </c>
      <c r="S326" s="30">
        <f t="shared" si="88"/>
        <v>360352.80000000005</v>
      </c>
      <c r="T326" s="31">
        <f t="shared" si="88"/>
        <v>549000</v>
      </c>
      <c r="U326" s="72">
        <f t="shared" ref="U326:W326" si="89">SUM(U319:U325)</f>
        <v>1</v>
      </c>
      <c r="V326" s="30">
        <f t="shared" si="89"/>
        <v>0</v>
      </c>
      <c r="W326" s="30">
        <f t="shared" si="89"/>
        <v>-43178</v>
      </c>
      <c r="X326" s="43"/>
    </row>
    <row r="327" spans="1:24" ht="24.95" customHeight="1">
      <c r="B327" s="32"/>
      <c r="C327" s="33"/>
      <c r="D327" s="33"/>
      <c r="E327" s="33" t="s">
        <v>324</v>
      </c>
      <c r="F327" s="34" t="e">
        <f t="shared" ref="F327:S327" si="90">F326+F318+F305+F293+F286+F272+F254</f>
        <v>#REF!</v>
      </c>
      <c r="G327" s="34" t="e">
        <f t="shared" si="90"/>
        <v>#REF!</v>
      </c>
      <c r="H327" s="34" t="e">
        <f t="shared" si="90"/>
        <v>#REF!</v>
      </c>
      <c r="I327" s="34" t="e">
        <f t="shared" si="90"/>
        <v>#REF!</v>
      </c>
      <c r="J327" s="34" t="e">
        <f t="shared" si="90"/>
        <v>#REF!</v>
      </c>
      <c r="K327" s="34" t="e">
        <f t="shared" si="90"/>
        <v>#REF!</v>
      </c>
      <c r="L327" s="34" t="e">
        <f t="shared" si="90"/>
        <v>#REF!</v>
      </c>
      <c r="M327" s="34" t="e">
        <f t="shared" si="90"/>
        <v>#REF!</v>
      </c>
      <c r="N327" s="34" t="e">
        <f t="shared" si="90"/>
        <v>#REF!</v>
      </c>
      <c r="O327" s="34" t="e">
        <f t="shared" si="90"/>
        <v>#REF!</v>
      </c>
      <c r="P327" s="34">
        <f t="shared" si="90"/>
        <v>6640000</v>
      </c>
      <c r="Q327" s="34">
        <f t="shared" si="90"/>
        <v>4501809</v>
      </c>
      <c r="R327" s="34">
        <f t="shared" si="90"/>
        <v>6442000</v>
      </c>
      <c r="S327" s="34">
        <f t="shared" si="90"/>
        <v>5402170.8000000007</v>
      </c>
      <c r="T327" s="35">
        <f>T326+T305+T286+T272+T254</f>
        <v>6455500</v>
      </c>
      <c r="U327" s="12">
        <f>IF(ISBLANK(B327),1,--OR(L327&gt;1,M327&gt;1,N327&gt;1))</f>
        <v>1</v>
      </c>
      <c r="V327" s="22" t="e">
        <f>+Q327-N327</f>
        <v>#REF!</v>
      </c>
      <c r="W327" s="23">
        <f t="shared" ref="W327:W349" si="91">P327-Q327</f>
        <v>2138191</v>
      </c>
      <c r="X327" s="43"/>
    </row>
    <row r="328" spans="1:24" ht="24.95" customHeight="1">
      <c r="B328" s="36"/>
      <c r="C328" s="37" t="s">
        <v>325</v>
      </c>
      <c r="D328" s="37"/>
      <c r="E328" s="37"/>
      <c r="F328" s="37"/>
      <c r="G328" s="37"/>
      <c r="H328" s="37"/>
      <c r="I328" s="38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1"/>
      <c r="U328" s="12">
        <f>IF(ISBLANK(B328),1,--OR(L328&gt;1,M328&gt;1,N328&gt;1))</f>
        <v>1</v>
      </c>
      <c r="V328" s="22">
        <f>+Q328-N328</f>
        <v>0</v>
      </c>
      <c r="W328" s="23">
        <f t="shared" si="91"/>
        <v>0</v>
      </c>
      <c r="X328" s="43"/>
    </row>
    <row r="329" spans="1:24" ht="24.95" customHeight="1">
      <c r="A329" s="1">
        <v>13</v>
      </c>
      <c r="B329" s="18">
        <v>1413100410</v>
      </c>
      <c r="C329" s="19" t="str">
        <f t="shared" ref="C329:C343" si="92">MID(B329,8,3)</f>
        <v>410</v>
      </c>
      <c r="D329" s="19" t="str">
        <f t="shared" ref="D329:D343" si="93">MID(B329,2,6)</f>
        <v>413100</v>
      </c>
      <c r="E329" s="19" t="s">
        <v>326</v>
      </c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>
        <f>VLOOKUP(B:B,'[3]תקבולים 2017'!B:R,15,0)</f>
        <v>2213000</v>
      </c>
      <c r="Q329" s="20">
        <f>-VLOOKUP(B:B,'[3]דוח כספי 10.17 מעודכן'!A:D,4,0)</f>
        <v>2091714.2</v>
      </c>
      <c r="R329" s="20">
        <f>VLOOKUP(B:B,'[3]תקבולים 2017'!B:T,17,0)</f>
        <v>2500000</v>
      </c>
      <c r="S329" s="20">
        <f t="shared" ref="S329:S343" si="94">Q329/10*12</f>
        <v>2510057.04</v>
      </c>
      <c r="T329" s="21">
        <v>2500000</v>
      </c>
      <c r="U329" s="12"/>
      <c r="V329" s="22"/>
      <c r="W329" s="23">
        <f t="shared" si="91"/>
        <v>121285.80000000005</v>
      </c>
      <c r="X329" s="43"/>
    </row>
    <row r="330" spans="1:24" ht="24.95" customHeight="1">
      <c r="A330" s="1">
        <v>13</v>
      </c>
      <c r="B330" s="18">
        <v>1413110410</v>
      </c>
      <c r="C330" s="19" t="str">
        <f t="shared" si="92"/>
        <v>410</v>
      </c>
      <c r="D330" s="19" t="str">
        <f t="shared" si="93"/>
        <v>413110</v>
      </c>
      <c r="E330" s="19" t="s">
        <v>327</v>
      </c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>
        <f>VLOOKUP(B:B,'[3]תקבולים 2017'!B:R,15,0)</f>
        <v>1405000</v>
      </c>
      <c r="Q330" s="20">
        <f>-VLOOKUP(B:B,'[3]דוח כספי 10.17 מעודכן'!A:D,4,0)</f>
        <v>119628.73</v>
      </c>
      <c r="R330" s="20">
        <f>VLOOKUP(B:B,'[3]תקבולים 2017'!B:T,17,0)</f>
        <v>1950500</v>
      </c>
      <c r="S330" s="20">
        <f t="shared" si="94"/>
        <v>143554.476</v>
      </c>
      <c r="T330" s="21">
        <v>1900000</v>
      </c>
      <c r="U330" s="12"/>
      <c r="V330" s="22"/>
      <c r="W330" s="23">
        <f t="shared" si="91"/>
        <v>1285371.27</v>
      </c>
      <c r="X330" s="43"/>
    </row>
    <row r="331" spans="1:24" s="39" customFormat="1" ht="24.95" customHeight="1">
      <c r="A331" s="39">
        <v>13</v>
      </c>
      <c r="B331" s="24">
        <v>1413111410</v>
      </c>
      <c r="C331" s="25" t="str">
        <f t="shared" si="92"/>
        <v>410</v>
      </c>
      <c r="D331" s="25" t="str">
        <f t="shared" si="93"/>
        <v>413111</v>
      </c>
      <c r="E331" s="25" t="s">
        <v>328</v>
      </c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>
        <f>VLOOKUP(B:B,'[3]תקבולים 2017'!B:R,15,0)</f>
        <v>58000</v>
      </c>
      <c r="Q331" s="26">
        <f>-VLOOKUP(B:B,'[3]דוח כספי 10.17 מעודכן'!A:D,4,0)</f>
        <v>1347.19</v>
      </c>
      <c r="R331" s="26">
        <f>VLOOKUP(B:B,'[3]תקבולים 2017'!B:T,17,0)</f>
        <v>0</v>
      </c>
      <c r="S331" s="26">
        <f t="shared" si="94"/>
        <v>1616.6279999999999</v>
      </c>
      <c r="T331" s="27">
        <v>0</v>
      </c>
      <c r="U331" s="40"/>
      <c r="V331" s="41"/>
      <c r="W331" s="42">
        <f t="shared" si="91"/>
        <v>56652.81</v>
      </c>
      <c r="X331" s="43" t="s">
        <v>25</v>
      </c>
    </row>
    <row r="332" spans="1:24" s="39" customFormat="1" ht="24.95" customHeight="1">
      <c r="A332" s="39">
        <v>13</v>
      </c>
      <c r="B332" s="24">
        <v>1413112410</v>
      </c>
      <c r="C332" s="25" t="str">
        <f t="shared" si="92"/>
        <v>410</v>
      </c>
      <c r="D332" s="25" t="str">
        <f t="shared" si="93"/>
        <v>413112</v>
      </c>
      <c r="E332" s="25" t="s">
        <v>329</v>
      </c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>
        <f>VLOOKUP(B:B,'[3]תקבולים 2017'!B:R,15,0)</f>
        <v>48000</v>
      </c>
      <c r="Q332" s="26">
        <f>-VLOOKUP(B:B,'[3]דוח כספי 10.17 מעודכן'!A:D,4,0)</f>
        <v>88960.05</v>
      </c>
      <c r="R332" s="26">
        <f>VLOOKUP(B:B,'[3]תקבולים 2017'!B:T,17,0)</f>
        <v>0</v>
      </c>
      <c r="S332" s="26">
        <f t="shared" si="94"/>
        <v>106752.06000000001</v>
      </c>
      <c r="T332" s="27">
        <v>0</v>
      </c>
      <c r="U332" s="40"/>
      <c r="V332" s="41"/>
      <c r="W332" s="42">
        <f t="shared" si="91"/>
        <v>-40960.050000000003</v>
      </c>
      <c r="X332" s="43" t="s">
        <v>25</v>
      </c>
    </row>
    <row r="333" spans="1:24" s="39" customFormat="1" ht="24.95" customHeight="1">
      <c r="A333" s="39">
        <v>13</v>
      </c>
      <c r="B333" s="24">
        <v>1413113410</v>
      </c>
      <c r="C333" s="25" t="str">
        <f t="shared" si="92"/>
        <v>410</v>
      </c>
      <c r="D333" s="25" t="str">
        <f t="shared" si="93"/>
        <v>413113</v>
      </c>
      <c r="E333" s="25" t="s">
        <v>330</v>
      </c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>
        <f>VLOOKUP(B:B,'[3]תקבולים 2017'!B:R,15,0)</f>
        <v>78000</v>
      </c>
      <c r="Q333" s="26">
        <f>-VLOOKUP(B:B,'[3]דוח כספי 10.17 מעודכן'!A:D,4,0)</f>
        <v>21063.87</v>
      </c>
      <c r="R333" s="26">
        <f>VLOOKUP(B:B,'[3]תקבולים 2017'!B:T,17,0)</f>
        <v>0</v>
      </c>
      <c r="S333" s="26">
        <f t="shared" si="94"/>
        <v>25276.643999999997</v>
      </c>
      <c r="T333" s="27">
        <v>0</v>
      </c>
      <c r="U333" s="40"/>
      <c r="V333" s="41"/>
      <c r="W333" s="42">
        <f t="shared" si="91"/>
        <v>56936.130000000005</v>
      </c>
      <c r="X333" s="43" t="s">
        <v>25</v>
      </c>
    </row>
    <row r="334" spans="1:24" s="39" customFormat="1" ht="24.95" customHeight="1">
      <c r="A334" s="39">
        <v>13</v>
      </c>
      <c r="B334" s="24">
        <v>1413114410</v>
      </c>
      <c r="C334" s="25" t="str">
        <f t="shared" si="92"/>
        <v>410</v>
      </c>
      <c r="D334" s="25" t="str">
        <f t="shared" si="93"/>
        <v>413114</v>
      </c>
      <c r="E334" s="25" t="s">
        <v>331</v>
      </c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>
        <f>VLOOKUP(B:B,'[3]תקבולים 2017'!B:R,15,0)</f>
        <v>91000</v>
      </c>
      <c r="Q334" s="26">
        <f>-VLOOKUP(B:B,'[3]דוח כספי 10.17 מעודכן'!A:D,4,0)</f>
        <v>15849.01</v>
      </c>
      <c r="R334" s="26">
        <f>VLOOKUP(B:B,'[3]תקבולים 2017'!B:T,17,0)</f>
        <v>0</v>
      </c>
      <c r="S334" s="26">
        <f t="shared" si="94"/>
        <v>19018.812000000002</v>
      </c>
      <c r="T334" s="27">
        <v>0</v>
      </c>
      <c r="U334" s="40"/>
      <c r="V334" s="41"/>
      <c r="W334" s="42">
        <f t="shared" si="91"/>
        <v>75150.990000000005</v>
      </c>
      <c r="X334" s="43" t="s">
        <v>25</v>
      </c>
    </row>
    <row r="335" spans="1:24" s="39" customFormat="1" ht="24.95" customHeight="1">
      <c r="A335" s="39">
        <v>13</v>
      </c>
      <c r="B335" s="24">
        <v>1413115410</v>
      </c>
      <c r="C335" s="25" t="str">
        <f t="shared" si="92"/>
        <v>410</v>
      </c>
      <c r="D335" s="25" t="str">
        <f t="shared" si="93"/>
        <v>413115</v>
      </c>
      <c r="E335" s="25" t="s">
        <v>332</v>
      </c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>
        <f>VLOOKUP(B:B,'[3]תקבולים 2017'!B:R,15,0)</f>
        <v>74000</v>
      </c>
      <c r="Q335" s="26">
        <f>-VLOOKUP(B:B,'[3]דוח כספי 10.17 מעודכן'!A:D,4,0)</f>
        <v>21305.25</v>
      </c>
      <c r="R335" s="26">
        <f>VLOOKUP(B:B,'[3]תקבולים 2017'!B:T,17,0)</f>
        <v>0</v>
      </c>
      <c r="S335" s="26">
        <f t="shared" si="94"/>
        <v>25566.300000000003</v>
      </c>
      <c r="T335" s="27">
        <v>0</v>
      </c>
      <c r="U335" s="40"/>
      <c r="V335" s="41"/>
      <c r="W335" s="42">
        <f t="shared" si="91"/>
        <v>52694.75</v>
      </c>
      <c r="X335" s="43" t="s">
        <v>25</v>
      </c>
    </row>
    <row r="336" spans="1:24" s="39" customFormat="1" ht="24.95" customHeight="1">
      <c r="A336" s="39">
        <v>13</v>
      </c>
      <c r="B336" s="24">
        <v>1413116410</v>
      </c>
      <c r="C336" s="25" t="str">
        <f t="shared" si="92"/>
        <v>410</v>
      </c>
      <c r="D336" s="25" t="str">
        <f t="shared" si="93"/>
        <v>413116</v>
      </c>
      <c r="E336" s="25" t="s">
        <v>333</v>
      </c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>
        <f>VLOOKUP(B:B,'[3]תקבולים 2017'!B:R,15,0)</f>
        <v>128000</v>
      </c>
      <c r="Q336" s="26">
        <f>-VLOOKUP(B:B,'[3]דוח כספי 10.17 מעודכן'!A:D,4,0)</f>
        <v>27552.400000000001</v>
      </c>
      <c r="R336" s="26">
        <f>VLOOKUP(B:B,'[3]תקבולים 2017'!B:T,17,0)</f>
        <v>0</v>
      </c>
      <c r="S336" s="26">
        <f t="shared" si="94"/>
        <v>33062.880000000005</v>
      </c>
      <c r="T336" s="27">
        <v>0</v>
      </c>
      <c r="U336" s="40"/>
      <c r="V336" s="41"/>
      <c r="W336" s="42">
        <f t="shared" si="91"/>
        <v>100447.6</v>
      </c>
      <c r="X336" s="43" t="s">
        <v>25</v>
      </c>
    </row>
    <row r="337" spans="1:24" s="39" customFormat="1" ht="24.95" customHeight="1">
      <c r="A337" s="39">
        <v>13</v>
      </c>
      <c r="B337" s="24">
        <v>1413117410</v>
      </c>
      <c r="C337" s="25" t="str">
        <f t="shared" si="92"/>
        <v>410</v>
      </c>
      <c r="D337" s="25" t="str">
        <f t="shared" si="93"/>
        <v>413117</v>
      </c>
      <c r="E337" s="25" t="s">
        <v>334</v>
      </c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>
        <f>VLOOKUP(B:B,'[3]תקבולים 2017'!B:R,15,0)</f>
        <v>361000</v>
      </c>
      <c r="Q337" s="26">
        <f>-VLOOKUP(B:B,'[3]דוח כספי 10.17 מעודכן'!A:D,4,0)</f>
        <v>73835.520000000004</v>
      </c>
      <c r="R337" s="26">
        <v>0</v>
      </c>
      <c r="S337" s="26">
        <f t="shared" si="94"/>
        <v>88602.624000000011</v>
      </c>
      <c r="T337" s="27">
        <v>0</v>
      </c>
      <c r="U337" s="40"/>
      <c r="V337" s="41"/>
      <c r="W337" s="42">
        <f t="shared" si="91"/>
        <v>287164.48</v>
      </c>
      <c r="X337" s="43" t="s">
        <v>25</v>
      </c>
    </row>
    <row r="338" spans="1:24" s="39" customFormat="1" ht="24.95" hidden="1" customHeight="1">
      <c r="A338" s="39">
        <v>13</v>
      </c>
      <c r="B338" s="24">
        <v>1413118410</v>
      </c>
      <c r="C338" s="25" t="str">
        <f t="shared" si="92"/>
        <v>410</v>
      </c>
      <c r="D338" s="25" t="str">
        <f t="shared" si="93"/>
        <v>413118</v>
      </c>
      <c r="E338" s="25" t="s">
        <v>335</v>
      </c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>
        <f>VLOOKUP(B:B,'[3]תקבולים 2017'!B:R,15,0)</f>
        <v>0</v>
      </c>
      <c r="Q338" s="26">
        <f>-VLOOKUP(B:B,'[3]דוח כספי 10.17 מעודכן'!A:D,4,0)</f>
        <v>109263.76</v>
      </c>
      <c r="R338" s="26">
        <f>VLOOKUP(B:B,'[3]תקבולים 2017'!B:T,17,0)</f>
        <v>0</v>
      </c>
      <c r="S338" s="26">
        <f t="shared" si="94"/>
        <v>131116.51199999999</v>
      </c>
      <c r="T338" s="27">
        <v>0</v>
      </c>
      <c r="U338" s="40"/>
      <c r="V338" s="41"/>
      <c r="W338" s="42">
        <f t="shared" si="91"/>
        <v>-109263.76</v>
      </c>
      <c r="X338" s="43" t="s">
        <v>25</v>
      </c>
    </row>
    <row r="339" spans="1:24" s="39" customFormat="1" ht="24.95" hidden="1" customHeight="1">
      <c r="A339" s="39">
        <v>13</v>
      </c>
      <c r="B339" s="24">
        <v>1413119410</v>
      </c>
      <c r="C339" s="25" t="str">
        <f t="shared" si="92"/>
        <v>410</v>
      </c>
      <c r="D339" s="25" t="str">
        <f t="shared" si="93"/>
        <v>413119</v>
      </c>
      <c r="E339" s="25" t="s">
        <v>336</v>
      </c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>
        <f>VLOOKUP(B:B,'[3]תקבולים 2017'!B:R,15,0)</f>
        <v>0</v>
      </c>
      <c r="Q339" s="26">
        <f>-VLOOKUP(B:B,'[3]דוח כספי 10.17 מעודכן'!A:D,4,0)</f>
        <v>694232.91</v>
      </c>
      <c r="R339" s="26">
        <f>VLOOKUP(B:B,'[3]תקבולים 2017'!B:T,17,0)</f>
        <v>0</v>
      </c>
      <c r="S339" s="26">
        <f t="shared" si="94"/>
        <v>833079.49199999997</v>
      </c>
      <c r="T339" s="27">
        <v>0</v>
      </c>
      <c r="U339" s="40"/>
      <c r="V339" s="41"/>
      <c r="W339" s="42">
        <f t="shared" si="91"/>
        <v>-694232.91</v>
      </c>
      <c r="X339" s="43" t="s">
        <v>25</v>
      </c>
    </row>
    <row r="340" spans="1:24" ht="24.95" customHeight="1">
      <c r="A340" s="1">
        <v>13</v>
      </c>
      <c r="B340" s="18">
        <v>1413120410</v>
      </c>
      <c r="C340" s="19" t="str">
        <f t="shared" si="92"/>
        <v>410</v>
      </c>
      <c r="D340" s="19" t="str">
        <f t="shared" si="93"/>
        <v>413120</v>
      </c>
      <c r="E340" s="19" t="s">
        <v>337</v>
      </c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>
        <f>VLOOKUP(B:B,'[3]תקבולים 2017'!B:R,15,0)</f>
        <v>5000</v>
      </c>
      <c r="Q340" s="20">
        <f>-VLOOKUP(B:B,'[3]דוח כספי 10.17 מעודכן'!A:D,4,0)</f>
        <v>2687.16</v>
      </c>
      <c r="R340" s="20">
        <f>VLOOKUP(B:B,'[3]תקבולים 2017'!B:T,17,0)</f>
        <v>3000</v>
      </c>
      <c r="S340" s="20">
        <f t="shared" si="94"/>
        <v>3224.5920000000001</v>
      </c>
      <c r="T340" s="21">
        <v>0</v>
      </c>
      <c r="U340" s="12"/>
      <c r="V340" s="22"/>
      <c r="W340" s="23">
        <f t="shared" si="91"/>
        <v>2312.84</v>
      </c>
      <c r="X340" s="43"/>
    </row>
    <row r="341" spans="1:24" ht="24.95" hidden="1" customHeight="1">
      <c r="A341" s="1">
        <v>13</v>
      </c>
      <c r="B341" s="18">
        <v>1413130410</v>
      </c>
      <c r="C341" s="19" t="str">
        <f t="shared" si="92"/>
        <v>410</v>
      </c>
      <c r="D341" s="19" t="str">
        <f t="shared" si="93"/>
        <v>413130</v>
      </c>
      <c r="E341" s="19" t="s">
        <v>338</v>
      </c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>
        <f>VLOOKUP(B:B,'[3]תקבולים 2017'!B:R,15,0)</f>
        <v>0</v>
      </c>
      <c r="Q341" s="20">
        <f>-VLOOKUP(B:B,'[3]דוח כספי 10.17 מעודכן'!A:D,4,0)</f>
        <v>0</v>
      </c>
      <c r="R341" s="20">
        <f>VLOOKUP(B:B,'[3]תקבולים 2017'!B:T,17,0)</f>
        <v>0</v>
      </c>
      <c r="S341" s="20">
        <f t="shared" si="94"/>
        <v>0</v>
      </c>
      <c r="T341" s="21">
        <v>0</v>
      </c>
      <c r="U341" s="12"/>
      <c r="V341" s="22"/>
      <c r="W341" s="23">
        <f t="shared" si="91"/>
        <v>0</v>
      </c>
      <c r="X341" s="43"/>
    </row>
    <row r="342" spans="1:24" ht="24.95" customHeight="1">
      <c r="A342" s="1">
        <v>13</v>
      </c>
      <c r="B342" s="18">
        <v>1413200410</v>
      </c>
      <c r="C342" s="19" t="str">
        <f t="shared" si="92"/>
        <v>410</v>
      </c>
      <c r="D342" s="19" t="str">
        <f t="shared" si="93"/>
        <v>413200</v>
      </c>
      <c r="E342" s="19" t="s">
        <v>339</v>
      </c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>
        <f>VLOOKUP(B:B,'[3]תקבולים 2017'!B:R,15,0)</f>
        <v>15000</v>
      </c>
      <c r="Q342" s="20">
        <f>-VLOOKUP(B:B,'[3]דוח כספי 10.17 מעודכן'!A:D,4,0)</f>
        <v>6549.21</v>
      </c>
      <c r="R342" s="20">
        <f>VLOOKUP(B:B,'[3]תקבולים 2017'!B:T,17,0)</f>
        <v>8000</v>
      </c>
      <c r="S342" s="20">
        <f t="shared" si="94"/>
        <v>7859.0520000000006</v>
      </c>
      <c r="T342" s="21">
        <v>8000</v>
      </c>
      <c r="U342" s="12"/>
      <c r="V342" s="22"/>
      <c r="W342" s="23">
        <f t="shared" si="91"/>
        <v>8450.7900000000009</v>
      </c>
      <c r="X342" s="43"/>
    </row>
    <row r="343" spans="1:24" ht="24.95" customHeight="1">
      <c r="A343" s="1">
        <v>13</v>
      </c>
      <c r="B343" s="18">
        <v>1413300210</v>
      </c>
      <c r="C343" s="19" t="str">
        <f t="shared" si="92"/>
        <v>210</v>
      </c>
      <c r="D343" s="19" t="str">
        <f t="shared" si="93"/>
        <v>413300</v>
      </c>
      <c r="E343" s="19" t="s">
        <v>340</v>
      </c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>
        <f>VLOOKUP(B:B,'[3]תקבולים 2017'!B:R,15,0)</f>
        <v>12000</v>
      </c>
      <c r="Q343" s="20">
        <f>-VLOOKUP(B:B,'[3]דוח כספי 10.17 מעודכן'!A:D,4,0)</f>
        <v>86042.47</v>
      </c>
      <c r="R343" s="20">
        <f>VLOOKUP(B:B,'[3]תקבולים 2017'!B:T,17,0)</f>
        <v>101000</v>
      </c>
      <c r="S343" s="20">
        <f t="shared" si="94"/>
        <v>103250.96399999999</v>
      </c>
      <c r="T343" s="21">
        <v>102000</v>
      </c>
      <c r="U343" s="12"/>
      <c r="V343" s="22"/>
      <c r="W343" s="23">
        <f t="shared" si="91"/>
        <v>-74042.47</v>
      </c>
      <c r="X343" s="43"/>
    </row>
    <row r="344" spans="1:24" ht="24.95" customHeight="1">
      <c r="B344" s="32"/>
      <c r="C344" s="33"/>
      <c r="D344" s="33"/>
      <c r="E344" s="33" t="s">
        <v>341</v>
      </c>
      <c r="F344" s="34" t="e">
        <f>SUM(#REF!)</f>
        <v>#REF!</v>
      </c>
      <c r="G344" s="34" t="e">
        <f>SUM(#REF!)</f>
        <v>#REF!</v>
      </c>
      <c r="H344" s="34" t="e">
        <f>SUM(#REF!)</f>
        <v>#REF!</v>
      </c>
      <c r="I344" s="34" t="e">
        <f>SUM(#REF!)</f>
        <v>#REF!</v>
      </c>
      <c r="J344" s="34" t="e">
        <f>SUM(#REF!)</f>
        <v>#REF!</v>
      </c>
      <c r="K344" s="34" t="e">
        <f>SUM(#REF!)</f>
        <v>#REF!</v>
      </c>
      <c r="L344" s="34" t="e">
        <f>SUM(#REF!)</f>
        <v>#REF!</v>
      </c>
      <c r="M344" s="34" t="e">
        <f>SUM(#REF!)</f>
        <v>#REF!</v>
      </c>
      <c r="N344" s="34" t="e">
        <f>SUM(#REF!)</f>
        <v>#REF!</v>
      </c>
      <c r="O344" s="34" t="e">
        <f>SUM(#REF!)</f>
        <v>#REF!</v>
      </c>
      <c r="P344" s="34">
        <f t="shared" ref="P344:S344" si="95">SUM(P329:P343)</f>
        <v>4488000</v>
      </c>
      <c r="Q344" s="34">
        <f t="shared" si="95"/>
        <v>3360031.73</v>
      </c>
      <c r="R344" s="34">
        <f t="shared" si="95"/>
        <v>4562500</v>
      </c>
      <c r="S344" s="34">
        <f t="shared" si="95"/>
        <v>4032038.0759999999</v>
      </c>
      <c r="T344" s="35">
        <f>SUM(T329:T343)</f>
        <v>4510000</v>
      </c>
      <c r="U344" s="12">
        <f t="shared" ref="U344:U349" si="96">IF(ISBLANK(B344),1,--OR(L344&gt;1,M344&gt;1,N344&gt;1))</f>
        <v>1</v>
      </c>
      <c r="V344" s="22" t="e">
        <f>+Q344-N344</f>
        <v>#REF!</v>
      </c>
      <c r="W344" s="23">
        <f t="shared" si="91"/>
        <v>1127968.27</v>
      </c>
      <c r="X344" s="43"/>
    </row>
    <row r="345" spans="1:24" ht="24.95" customHeight="1">
      <c r="B345" s="36"/>
      <c r="C345" s="37" t="s">
        <v>342</v>
      </c>
      <c r="D345" s="37"/>
      <c r="E345" s="37"/>
      <c r="F345" s="37"/>
      <c r="G345" s="37"/>
      <c r="H345" s="37"/>
      <c r="I345" s="38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1"/>
      <c r="U345" s="12">
        <f t="shared" si="96"/>
        <v>1</v>
      </c>
      <c r="V345" s="22">
        <f>+Q345-N345</f>
        <v>0</v>
      </c>
      <c r="W345" s="23">
        <f t="shared" si="91"/>
        <v>0</v>
      </c>
      <c r="X345" s="43"/>
    </row>
    <row r="346" spans="1:24" ht="24.95" hidden="1" customHeight="1">
      <c r="A346" s="1">
        <v>7</v>
      </c>
      <c r="B346" s="18">
        <v>1513000510</v>
      </c>
      <c r="C346" s="19" t="str">
        <f>MID(B346,8,3)</f>
        <v>510</v>
      </c>
      <c r="D346" s="19" t="str">
        <f>MID(B346,2,6)</f>
        <v>513000</v>
      </c>
      <c r="E346" s="19" t="s">
        <v>343</v>
      </c>
      <c r="F346" s="20">
        <v>20000</v>
      </c>
      <c r="G346" s="20">
        <v>15254.33</v>
      </c>
      <c r="H346" s="20">
        <f>G346*12/10</f>
        <v>18305.196</v>
      </c>
      <c r="I346" s="20">
        <f>H346</f>
        <v>18305.196</v>
      </c>
      <c r="J346" s="20" t="e">
        <f>VLOOKUP(B346,#REF!,6,0)</f>
        <v>#REF!</v>
      </c>
      <c r="K346" s="20" t="e">
        <f>+J346*1.71428571428571</f>
        <v>#REF!</v>
      </c>
      <c r="L346" s="20">
        <v>32000</v>
      </c>
      <c r="M346" s="20">
        <v>32000</v>
      </c>
      <c r="N346" s="20">
        <v>0</v>
      </c>
      <c r="O346" s="20" t="e">
        <f>VLOOKUP(B346,[3]כספי!$A$1:$E$324,5,0)</f>
        <v>#N/A</v>
      </c>
      <c r="P346" s="20">
        <f>VLOOKUP(B:B,'[3]תקבולים 2017'!B:R,15,0)</f>
        <v>0</v>
      </c>
      <c r="Q346" s="20">
        <f>-VLOOKUP(B:B,'[3]דוח כספי 10.17 מעודכן'!A:D,4,0)</f>
        <v>0</v>
      </c>
      <c r="R346" s="20">
        <f>VLOOKUP(B:B,'[3]תקבולים 2017'!B:T,17,0)</f>
        <v>0</v>
      </c>
      <c r="S346" s="20">
        <f>Q346/10*12</f>
        <v>0</v>
      </c>
      <c r="T346" s="21">
        <v>0</v>
      </c>
      <c r="U346" s="12">
        <f t="shared" si="96"/>
        <v>1</v>
      </c>
      <c r="V346" s="22">
        <f>+Q346-N346</f>
        <v>0</v>
      </c>
      <c r="W346" s="23">
        <f t="shared" si="91"/>
        <v>0</v>
      </c>
      <c r="X346" s="43"/>
    </row>
    <row r="347" spans="1:24" ht="24.95" hidden="1" customHeight="1">
      <c r="A347" s="1">
        <v>7</v>
      </c>
      <c r="B347" s="18">
        <v>1550000591</v>
      </c>
      <c r="C347" s="19" t="str">
        <f>MID(B347,8,3)</f>
        <v>591</v>
      </c>
      <c r="D347" s="19" t="str">
        <f>MID(B347,2,6)</f>
        <v>550000</v>
      </c>
      <c r="E347" s="19" t="s">
        <v>344</v>
      </c>
      <c r="F347" s="20"/>
      <c r="G347" s="20">
        <v>44646</v>
      </c>
      <c r="H347" s="20">
        <v>55000</v>
      </c>
      <c r="I347" s="20">
        <v>70000</v>
      </c>
      <c r="J347" s="20" t="e">
        <f>VLOOKUP(B347,#REF!,6,0)</f>
        <v>#REF!</v>
      </c>
      <c r="K347" s="20">
        <v>89292</v>
      </c>
      <c r="L347" s="20">
        <v>89292</v>
      </c>
      <c r="M347" s="20">
        <v>89000</v>
      </c>
      <c r="N347" s="20">
        <v>89000</v>
      </c>
      <c r="O347" s="20" t="e">
        <f>VLOOKUP(B347,[3]כספי!$A$1:$E$324,5,0)</f>
        <v>#N/A</v>
      </c>
      <c r="P347" s="20">
        <f>VLOOKUP(B:B,'[3]תקבולים 2017'!B:R,15,0)</f>
        <v>0</v>
      </c>
      <c r="Q347" s="20">
        <f>-VLOOKUP(B:B,'[3]דוח כספי 10.17 מעודכן'!A:D,4,0)</f>
        <v>0</v>
      </c>
      <c r="R347" s="20">
        <f>VLOOKUP(B:B,'[3]תקבולים 2017'!B:T,17,0)</f>
        <v>0</v>
      </c>
      <c r="S347" s="20">
        <f>Q347/10*12</f>
        <v>0</v>
      </c>
      <c r="T347" s="21">
        <v>0</v>
      </c>
      <c r="U347" s="12">
        <f t="shared" si="96"/>
        <v>1</v>
      </c>
      <c r="V347" s="22">
        <f>+Q347-N347</f>
        <v>-89000</v>
      </c>
      <c r="W347" s="23">
        <f t="shared" si="91"/>
        <v>0</v>
      </c>
      <c r="X347" s="43"/>
    </row>
    <row r="348" spans="1:24" ht="24.95" hidden="1" customHeight="1">
      <c r="A348" s="1">
        <v>7</v>
      </c>
      <c r="B348" s="18">
        <v>1552000910</v>
      </c>
      <c r="C348" s="19" t="str">
        <f>MID(B348,8,3)</f>
        <v>910</v>
      </c>
      <c r="D348" s="19" t="str">
        <f>MID(B348,2,6)</f>
        <v>552000</v>
      </c>
      <c r="E348" s="19" t="s">
        <v>345</v>
      </c>
      <c r="F348" s="20">
        <v>180000</v>
      </c>
      <c r="G348" s="20">
        <v>57799.19</v>
      </c>
      <c r="H348" s="20">
        <v>250000</v>
      </c>
      <c r="I348" s="20">
        <v>250000</v>
      </c>
      <c r="J348" s="20" t="e">
        <f>VLOOKUP(B348,#REF!,6,0)</f>
        <v>#REF!</v>
      </c>
      <c r="K348" s="20" t="e">
        <f>+J348*1.71428571428571</f>
        <v>#REF!</v>
      </c>
      <c r="L348" s="20">
        <v>100000</v>
      </c>
      <c r="M348" s="20">
        <v>80000</v>
      </c>
      <c r="N348" s="20">
        <v>240000</v>
      </c>
      <c r="O348" s="20" t="e">
        <f>VLOOKUP(B348,[3]כספי!$A$1:$E$324,5,0)</f>
        <v>#N/A</v>
      </c>
      <c r="P348" s="20">
        <f>VLOOKUP(B:B,'[3]תקבולים 2017'!B:R,15,0)</f>
        <v>0</v>
      </c>
      <c r="Q348" s="20">
        <f>-VLOOKUP(B:B,'[3]דוח כספי 10.17 מעודכן'!A:D,4,0)</f>
        <v>0</v>
      </c>
      <c r="R348" s="20">
        <f>VLOOKUP(B:B,'[3]תקבולים 2017'!B:T,17,0)</f>
        <v>0</v>
      </c>
      <c r="S348" s="20">
        <f>Q348/10*12</f>
        <v>0</v>
      </c>
      <c r="T348" s="21">
        <v>0</v>
      </c>
      <c r="U348" s="12">
        <f t="shared" si="96"/>
        <v>1</v>
      </c>
      <c r="V348" s="22">
        <f>+Q348-N348</f>
        <v>-240000</v>
      </c>
      <c r="W348" s="23">
        <f t="shared" si="91"/>
        <v>0</v>
      </c>
      <c r="X348" s="43"/>
    </row>
    <row r="349" spans="1:24" ht="24.95" customHeight="1">
      <c r="B349" s="32"/>
      <c r="C349" s="33"/>
      <c r="D349" s="33"/>
      <c r="E349" s="33" t="s">
        <v>342</v>
      </c>
      <c r="F349" s="34">
        <f t="shared" ref="F349:R349" si="97">SUM(F346:F348)</f>
        <v>200000</v>
      </c>
      <c r="G349" s="34">
        <f t="shared" si="97"/>
        <v>117699.52</v>
      </c>
      <c r="H349" s="34">
        <f t="shared" si="97"/>
        <v>323305.196</v>
      </c>
      <c r="I349" s="34">
        <f t="shared" si="97"/>
        <v>338305.196</v>
      </c>
      <c r="J349" s="34" t="e">
        <f t="shared" si="97"/>
        <v>#REF!</v>
      </c>
      <c r="K349" s="34" t="e">
        <f t="shared" si="97"/>
        <v>#REF!</v>
      </c>
      <c r="L349" s="34">
        <f t="shared" si="97"/>
        <v>221292</v>
      </c>
      <c r="M349" s="34">
        <f t="shared" si="97"/>
        <v>201000</v>
      </c>
      <c r="N349" s="34">
        <f t="shared" si="97"/>
        <v>329000</v>
      </c>
      <c r="O349" s="34" t="e">
        <f t="shared" si="97"/>
        <v>#N/A</v>
      </c>
      <c r="P349" s="34">
        <f t="shared" si="97"/>
        <v>0</v>
      </c>
      <c r="Q349" s="34">
        <f t="shared" si="97"/>
        <v>0</v>
      </c>
      <c r="R349" s="34">
        <f t="shared" si="97"/>
        <v>0</v>
      </c>
      <c r="S349" s="34">
        <f>SUM(S346:S348)</f>
        <v>0</v>
      </c>
      <c r="T349" s="35">
        <f>SUM(T346:T348)</f>
        <v>0</v>
      </c>
      <c r="U349" s="12">
        <f t="shared" si="96"/>
        <v>1</v>
      </c>
      <c r="V349" s="22"/>
      <c r="W349" s="23">
        <f t="shared" si="91"/>
        <v>0</v>
      </c>
    </row>
    <row r="350" spans="1:24" ht="24.95" customHeight="1" thickBot="1">
      <c r="B350" s="73"/>
      <c r="C350" s="74"/>
      <c r="D350" s="74"/>
      <c r="E350" s="75" t="s">
        <v>346</v>
      </c>
      <c r="F350" s="76" t="e">
        <f>F349+#REF!+F344+#REF!+F327+F249+F246+F231+F60+F46</f>
        <v>#REF!</v>
      </c>
      <c r="G350" s="76" t="e">
        <f>G349+#REF!+G344+#REF!+G327+G249+G246+G231+G60+G46</f>
        <v>#REF!</v>
      </c>
      <c r="H350" s="76" t="e">
        <f>H349+#REF!+H344+#REF!+H327+H249+H246+H231+H60+H46</f>
        <v>#REF!</v>
      </c>
      <c r="I350" s="76" t="e">
        <f>I349+#REF!+I344+#REF!+I327+I249+I246+I231+I60+I46</f>
        <v>#REF!</v>
      </c>
      <c r="J350" s="76" t="e">
        <f>J349+#REF!+J344+#REF!+J327+J249+J246+J231+J60+J46</f>
        <v>#REF!</v>
      </c>
      <c r="K350" s="76" t="e">
        <f>K349+#REF!+K344+#REF!+K327+K249+K246+K231+K60+K46</f>
        <v>#REF!</v>
      </c>
      <c r="L350" s="76" t="e">
        <f>L349+#REF!+L344+#REF!+L327+L249+L246+L231+L60+L46</f>
        <v>#REF!</v>
      </c>
      <c r="M350" s="76" t="e">
        <f>M349+#REF!+M344+#REF!+M327+M249+M246+M231+M60+M46</f>
        <v>#REF!</v>
      </c>
      <c r="N350" s="76" t="e">
        <f>N349+#REF!+N344+#REF!+N327+N249+N246+N231+N60+N46</f>
        <v>#REF!</v>
      </c>
      <c r="O350" s="76" t="e">
        <f>O349+#REF!+O344+#REF!+O327+O249+O246+O231+O60+O46</f>
        <v>#N/A</v>
      </c>
      <c r="P350" s="76">
        <f>P349+P344+P327+P249+P246+P231+P60+P46+P35</f>
        <v>62584000</v>
      </c>
      <c r="Q350" s="76">
        <f>Q349+Q344+Q327+Q249+Q246+Q231+Q60+Q46+Q35</f>
        <v>54645205.549999997</v>
      </c>
      <c r="R350" s="76">
        <f>R349+R344+R327+R249+R246+R231+R60+R46+R35</f>
        <v>71086500</v>
      </c>
      <c r="S350" s="76">
        <f>S349+S344+S327+S249+S246+S231+S60+S46+S35</f>
        <v>65629810.772</v>
      </c>
      <c r="T350" s="77">
        <f>T349+T344+T327+T249+T246+T231+T60+T46+T35</f>
        <v>71862000</v>
      </c>
      <c r="U350" s="78" t="e">
        <f>U349+U344+U327+U249+U246+U231+U60+U46</f>
        <v>#REF!</v>
      </c>
      <c r="V350" s="79" t="e">
        <f>V349+V344+V327+V249+V246+V231+V60+V46</f>
        <v>#REF!</v>
      </c>
      <c r="W350" s="79" t="e">
        <f>W349+W344+W327+W249+W246+W231+W60+W46</f>
        <v>#REF!</v>
      </c>
    </row>
  </sheetData>
  <mergeCells count="3">
    <mergeCell ref="C3:D3"/>
    <mergeCell ref="C36:D36"/>
    <mergeCell ref="C39:D39"/>
  </mergeCells>
  <conditionalFormatting sqref="C350 C16 C39 B2:C3 C76">
    <cfRule type="cellIs" dxfId="1005" priority="26" operator="equal">
      <formula>"110"</formula>
    </cfRule>
  </conditionalFormatting>
  <conditionalFormatting sqref="C230">
    <cfRule type="cellIs" dxfId="1004" priority="14" operator="equal">
      <formula>"110"</formula>
    </cfRule>
  </conditionalFormatting>
  <conditionalFormatting sqref="C46">
    <cfRule type="cellIs" dxfId="1003" priority="21" operator="equal">
      <formula>"110"</formula>
    </cfRule>
  </conditionalFormatting>
  <conditionalFormatting sqref="C34">
    <cfRule type="cellIs" dxfId="1002" priority="25" operator="equal">
      <formula>"110"</formula>
    </cfRule>
  </conditionalFormatting>
  <conditionalFormatting sqref="C35">
    <cfRule type="cellIs" dxfId="1001" priority="24" operator="equal">
      <formula>"110"</formula>
    </cfRule>
  </conditionalFormatting>
  <conditionalFormatting sqref="C38">
    <cfRule type="cellIs" dxfId="1000" priority="23" operator="equal">
      <formula>"110"</formula>
    </cfRule>
  </conditionalFormatting>
  <conditionalFormatting sqref="C45">
    <cfRule type="cellIs" dxfId="999" priority="22" operator="equal">
      <formula>"110"</formula>
    </cfRule>
  </conditionalFormatting>
  <conditionalFormatting sqref="C60">
    <cfRule type="cellIs" dxfId="998" priority="20" operator="equal">
      <formula>"110"</formula>
    </cfRule>
  </conditionalFormatting>
  <conditionalFormatting sqref="C67">
    <cfRule type="cellIs" dxfId="997" priority="19" operator="equal">
      <formula>"110"</formula>
    </cfRule>
  </conditionalFormatting>
  <conditionalFormatting sqref="C77">
    <cfRule type="cellIs" dxfId="996" priority="18" operator="equal">
      <formula>"110"</formula>
    </cfRule>
  </conditionalFormatting>
  <conditionalFormatting sqref="C115">
    <cfRule type="cellIs" dxfId="995" priority="17" operator="equal">
      <formula>"110"</formula>
    </cfRule>
  </conditionalFormatting>
  <conditionalFormatting sqref="C118">
    <cfRule type="cellIs" dxfId="994" priority="16" operator="equal">
      <formula>"110"</formula>
    </cfRule>
  </conditionalFormatting>
  <conditionalFormatting sqref="C166">
    <cfRule type="cellIs" dxfId="993" priority="15" operator="equal">
      <formula>"110"</formula>
    </cfRule>
  </conditionalFormatting>
  <conditionalFormatting sqref="C231">
    <cfRule type="cellIs" dxfId="992" priority="13" operator="equal">
      <formula>"110"</formula>
    </cfRule>
  </conditionalFormatting>
  <conditionalFormatting sqref="C246">
    <cfRule type="cellIs" dxfId="991" priority="12" operator="equal">
      <formula>"110"</formula>
    </cfRule>
  </conditionalFormatting>
  <conditionalFormatting sqref="C249">
    <cfRule type="cellIs" dxfId="990" priority="11" operator="equal">
      <formula>"110"</formula>
    </cfRule>
  </conditionalFormatting>
  <conditionalFormatting sqref="C254">
    <cfRule type="cellIs" dxfId="989" priority="10" operator="equal">
      <formula>"110"</formula>
    </cfRule>
  </conditionalFormatting>
  <conditionalFormatting sqref="C272">
    <cfRule type="cellIs" dxfId="988" priority="9" operator="equal">
      <formula>"110"</formula>
    </cfRule>
  </conditionalFormatting>
  <conditionalFormatting sqref="C286">
    <cfRule type="cellIs" dxfId="987" priority="8" operator="equal">
      <formula>"110"</formula>
    </cfRule>
  </conditionalFormatting>
  <conditionalFormatting sqref="C293">
    <cfRule type="cellIs" dxfId="986" priority="7" operator="equal">
      <formula>"110"</formula>
    </cfRule>
  </conditionalFormatting>
  <conditionalFormatting sqref="C305">
    <cfRule type="cellIs" dxfId="985" priority="6" operator="equal">
      <formula>"110"</formula>
    </cfRule>
  </conditionalFormatting>
  <conditionalFormatting sqref="C318">
    <cfRule type="cellIs" dxfId="984" priority="5" operator="equal">
      <formula>"110"</formula>
    </cfRule>
  </conditionalFormatting>
  <conditionalFormatting sqref="C326">
    <cfRule type="cellIs" dxfId="983" priority="4" operator="equal">
      <formula>"110"</formula>
    </cfRule>
  </conditionalFormatting>
  <conditionalFormatting sqref="C327">
    <cfRule type="cellIs" dxfId="982" priority="3" operator="equal">
      <formula>"110"</formula>
    </cfRule>
  </conditionalFormatting>
  <conditionalFormatting sqref="C344">
    <cfRule type="cellIs" dxfId="981" priority="2" operator="equal">
      <formula>"110"</formula>
    </cfRule>
  </conditionalFormatting>
  <conditionalFormatting sqref="C349">
    <cfRule type="cellIs" dxfId="980" priority="1" operator="equal">
      <formula>"110"</formula>
    </cfRule>
  </conditionalFormatting>
  <printOptions horizontalCentered="1"/>
  <pageMargins left="0.31496062992125984" right="0.31496062992125984" top="0.35433070866141736" bottom="0.55118110236220474" header="0.31496062992125984" footer="0.31496062992125984"/>
  <pageSetup paperSize="9" fitToWidth="0" fitToHeight="0" orientation="portrait" horizontalDpi="4294967294" verticalDpi="4294967294" r:id="rId1"/>
  <headerFooter>
    <oddHeader>&amp;A&amp;Rעמוד &amp;P</oddHeader>
    <oddFooter>&amp;C&amp;P</oddFooter>
  </headerFooter>
  <rowBreaks count="11" manualBreakCount="11">
    <brk id="46" min="1" max="23" man="1"/>
    <brk id="60" min="1" max="23" man="1"/>
    <brk id="94" min="1" max="34" man="1"/>
    <brk id="118" min="1" max="23" man="1"/>
    <brk id="145" min="1" max="23" man="1"/>
    <brk id="166" min="1" max="23" man="1"/>
    <brk id="196" min="1" max="23" man="1"/>
    <brk id="231" min="1" max="34" man="1"/>
    <brk id="254" min="1" max="23" man="1"/>
    <brk id="286" min="1" max="34" man="1"/>
    <brk id="313" min="1" max="23" man="1"/>
  </rowBreaks>
  <colBreaks count="1" manualBreakCount="1">
    <brk id="24" max="2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49"/>
  <sheetViews>
    <sheetView rightToLeft="1" tabSelected="1" topLeftCell="A684" workbookViewId="0">
      <selection activeCell="V748" sqref="V748"/>
    </sheetView>
  </sheetViews>
  <sheetFormatPr defaultRowHeight="14.25"/>
  <cols>
    <col min="2" max="2" width="9.625" bestFit="1" customWidth="1"/>
    <col min="3" max="3" width="5.625" customWidth="1"/>
    <col min="4" max="4" width="6.125" bestFit="1" customWidth="1"/>
    <col min="5" max="5" width="26.5" bestFit="1" customWidth="1"/>
    <col min="6" max="15" width="0" hidden="1" customWidth="1"/>
    <col min="16" max="19" width="9.625" hidden="1" customWidth="1"/>
    <col min="20" max="20" width="9.625" customWidth="1"/>
    <col min="21" max="21" width="9.625" bestFit="1" customWidth="1"/>
  </cols>
  <sheetData>
    <row r="2" spans="2:21" ht="63"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163" t="s">
        <v>17</v>
      </c>
      <c r="U2" s="10" t="s">
        <v>19</v>
      </c>
    </row>
    <row r="3" spans="2:21" ht="15.75">
      <c r="B3" s="13"/>
      <c r="C3" s="227" t="s">
        <v>21</v>
      </c>
      <c r="D3" s="227"/>
      <c r="E3" s="14"/>
      <c r="F3" s="14"/>
      <c r="G3" s="14"/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4"/>
      <c r="U3" s="16"/>
    </row>
    <row r="4" spans="2:21" ht="15">
      <c r="B4" s="18">
        <v>1111000100</v>
      </c>
      <c r="C4" s="19" t="str">
        <f t="shared" ref="C4:C15" si="0">MID(B4,8,3)</f>
        <v>100</v>
      </c>
      <c r="D4" s="19" t="str">
        <f t="shared" ref="D4:D15" si="1">MID(B4,2,6)</f>
        <v>111000</v>
      </c>
      <c r="E4" s="19" t="s">
        <v>22</v>
      </c>
      <c r="F4" s="20">
        <v>6400000</v>
      </c>
      <c r="G4" s="20">
        <v>5036000</v>
      </c>
      <c r="H4" s="20">
        <f>G4*12/10</f>
        <v>6043200</v>
      </c>
      <c r="I4" s="20">
        <v>6600000</v>
      </c>
      <c r="J4" s="20" t="e">
        <f>VLOOKUP(B4,#REF!,6,0)</f>
        <v>#REF!</v>
      </c>
      <c r="K4" s="20" t="e">
        <f>+J4*1.71428571428571</f>
        <v>#REF!</v>
      </c>
      <c r="L4" s="20">
        <v>6250000</v>
      </c>
      <c r="M4" s="20">
        <v>6250000</v>
      </c>
      <c r="N4" s="20">
        <v>6400000</v>
      </c>
      <c r="O4" s="20">
        <v>4290000</v>
      </c>
      <c r="P4" s="20">
        <f>VLOOKUP(B:B,'[3]תקבולים 2017'!B:R,15,0)</f>
        <v>4420000</v>
      </c>
      <c r="Q4" s="20">
        <f>-VLOOKUP(B:B,'[3]דוח כספי 10.17 מעודכן'!A:D,4,0)</f>
        <v>3550518.54</v>
      </c>
      <c r="R4" s="20">
        <f>VLOOKUP(B:B,'[3]תקבולים 2017'!B:T,17,0)</f>
        <v>4350000</v>
      </c>
      <c r="S4" s="20">
        <f t="shared" ref="S4:S15" si="2">Q4/10*12</f>
        <v>4260622.2479999997</v>
      </c>
      <c r="T4" s="164">
        <f>VLOOKUP(B4,'תקבולים 2017'!$A$2:$Q$248,17,0)</f>
        <v>4350000</v>
      </c>
      <c r="U4" s="21">
        <v>4560000</v>
      </c>
    </row>
    <row r="5" spans="2:21" ht="15">
      <c r="B5" s="18">
        <v>1112000121</v>
      </c>
      <c r="C5" s="19" t="str">
        <f t="shared" si="0"/>
        <v>121</v>
      </c>
      <c r="D5" s="19" t="str">
        <f t="shared" si="1"/>
        <v>112000</v>
      </c>
      <c r="E5" s="19" t="s">
        <v>23</v>
      </c>
      <c r="F5" s="20">
        <v>420000</v>
      </c>
      <c r="G5" s="20">
        <v>558000</v>
      </c>
      <c r="H5" s="20">
        <f>6474000-H4</f>
        <v>430800</v>
      </c>
      <c r="I5" s="20">
        <v>500000</v>
      </c>
      <c r="J5" s="20" t="e">
        <f>VLOOKUP(B5,#REF!,6,0)</f>
        <v>#REF!</v>
      </c>
      <c r="K5" s="20" t="e">
        <f>+J5*1.71428571428571</f>
        <v>#REF!</v>
      </c>
      <c r="L5" s="20">
        <v>550000</v>
      </c>
      <c r="M5" s="20">
        <v>550000</v>
      </c>
      <c r="N5" s="20">
        <v>600000</v>
      </c>
      <c r="O5" s="20">
        <v>380000</v>
      </c>
      <c r="P5" s="20">
        <f>VLOOKUP(B:B,'[3]תקבולים 2017'!B:R,15,0)</f>
        <v>2471000</v>
      </c>
      <c r="Q5" s="20">
        <f>-VLOOKUP(B:B,'[3]דוח כספי 10.17 מעודכן'!A:D,4,0)</f>
        <v>132200.14000000001</v>
      </c>
      <c r="R5" s="20">
        <f>VLOOKUP(B:B,'[3]תקבולים 2017'!B:T,17,0)</f>
        <v>2000000</v>
      </c>
      <c r="S5" s="20">
        <f t="shared" si="2"/>
        <v>158640.16800000001</v>
      </c>
      <c r="T5" s="164">
        <f>VLOOKUP(B5,'תקבולים 2017'!$A$2:$Q$248,17,0)</f>
        <v>2000000</v>
      </c>
      <c r="U5" s="21">
        <v>2000000</v>
      </c>
    </row>
    <row r="6" spans="2:21" ht="15">
      <c r="B6" s="24">
        <v>1112000122</v>
      </c>
      <c r="C6" s="25" t="str">
        <f t="shared" si="0"/>
        <v>122</v>
      </c>
      <c r="D6" s="25" t="str">
        <f t="shared" si="1"/>
        <v>112000</v>
      </c>
      <c r="E6" s="25" t="s">
        <v>24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>
        <f>-VLOOKUP(B:B,'[3]דוח כספי 10.17 מעודכן'!A:D,4,0)</f>
        <v>2238.09</v>
      </c>
      <c r="R6" s="26">
        <f>VLOOKUP(B:B,'[3]תקבולים 2017'!B:T,17,0)</f>
        <v>0</v>
      </c>
      <c r="S6" s="26">
        <f t="shared" si="2"/>
        <v>2685.7080000000005</v>
      </c>
      <c r="T6" s="164">
        <f>VLOOKUP(B6,'תקבולים 2017'!$A$2:$Q$248,17,0)</f>
        <v>0</v>
      </c>
      <c r="U6" s="27">
        <v>0</v>
      </c>
    </row>
    <row r="7" spans="2:21" ht="15">
      <c r="B7" s="24">
        <v>1112000123</v>
      </c>
      <c r="C7" s="25" t="str">
        <f t="shared" si="0"/>
        <v>123</v>
      </c>
      <c r="D7" s="25" t="str">
        <f t="shared" si="1"/>
        <v>112000</v>
      </c>
      <c r="E7" s="25" t="s">
        <v>26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>
        <f>-VLOOKUP(B:B,'[3]דוח כספי 10.17 מעודכן'!A:D,4,0)</f>
        <v>57715.02</v>
      </c>
      <c r="R7" s="26">
        <f>VLOOKUP(B:B,'[3]תקבולים 2017'!B:T,17,0)</f>
        <v>0</v>
      </c>
      <c r="S7" s="26">
        <f t="shared" si="2"/>
        <v>69258.02399999999</v>
      </c>
      <c r="T7" s="164">
        <f>VLOOKUP(B7,'תקבולים 2017'!$A$2:$Q$248,17,0)</f>
        <v>0</v>
      </c>
      <c r="U7" s="27">
        <v>0</v>
      </c>
    </row>
    <row r="8" spans="2:21" ht="15">
      <c r="B8" s="24">
        <v>1112000124</v>
      </c>
      <c r="C8" s="25" t="str">
        <f t="shared" si="0"/>
        <v>124</v>
      </c>
      <c r="D8" s="25" t="str">
        <f t="shared" si="1"/>
        <v>112000</v>
      </c>
      <c r="E8" s="25" t="s">
        <v>27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>
        <f>-VLOOKUP(B:B,'[3]דוח כספי 10.17 מעודכן'!A:D,4,0)</f>
        <v>15940.53</v>
      </c>
      <c r="R8" s="26">
        <f>VLOOKUP(B:B,'[3]תקבולים 2017'!B:T,17,0)</f>
        <v>0</v>
      </c>
      <c r="S8" s="26">
        <f t="shared" si="2"/>
        <v>19128.636000000002</v>
      </c>
      <c r="T8" s="164">
        <f>VLOOKUP(B8,'תקבולים 2017'!$A$2:$Q$248,17,0)</f>
        <v>0</v>
      </c>
      <c r="U8" s="27">
        <v>0</v>
      </c>
    </row>
    <row r="9" spans="2:21" ht="15">
      <c r="B9" s="24">
        <v>1112000125</v>
      </c>
      <c r="C9" s="25" t="str">
        <f t="shared" si="0"/>
        <v>125</v>
      </c>
      <c r="D9" s="25" t="str">
        <f t="shared" si="1"/>
        <v>112000</v>
      </c>
      <c r="E9" s="25" t="s">
        <v>28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>
        <f>-VLOOKUP(B:B,'[3]דוח כספי 10.17 מעודכן'!A:D,4,0)</f>
        <v>8826.9599999999991</v>
      </c>
      <c r="R9" s="26">
        <f>VLOOKUP(B:B,'[3]תקבולים 2017'!B:T,17,0)</f>
        <v>0</v>
      </c>
      <c r="S9" s="26">
        <f t="shared" si="2"/>
        <v>10592.351999999999</v>
      </c>
      <c r="T9" s="164">
        <f>VLOOKUP(B9,'תקבולים 2017'!$A$2:$Q$248,17,0)</f>
        <v>0</v>
      </c>
      <c r="U9" s="27">
        <v>0</v>
      </c>
    </row>
    <row r="10" spans="2:21" ht="15">
      <c r="B10" s="24">
        <v>1112000126</v>
      </c>
      <c r="C10" s="25" t="str">
        <f t="shared" si="0"/>
        <v>126</v>
      </c>
      <c r="D10" s="25" t="str">
        <f t="shared" si="1"/>
        <v>112000</v>
      </c>
      <c r="E10" s="25" t="s">
        <v>29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>
        <f>-VLOOKUP(B:B,'[3]דוח כספי 10.17 מעודכן'!A:D,4,0)</f>
        <v>16285.82</v>
      </c>
      <c r="R10" s="26">
        <f>VLOOKUP(B:B,'[3]תקבולים 2017'!B:T,17,0)</f>
        <v>0</v>
      </c>
      <c r="S10" s="26">
        <f t="shared" si="2"/>
        <v>19542.983999999997</v>
      </c>
      <c r="T10" s="164">
        <f>VLOOKUP(B10,'תקבולים 2017'!$A$2:$Q$248,17,0)</f>
        <v>0</v>
      </c>
      <c r="U10" s="27">
        <v>0</v>
      </c>
    </row>
    <row r="11" spans="2:21" ht="15">
      <c r="B11" s="24">
        <v>1112000127</v>
      </c>
      <c r="C11" s="25" t="str">
        <f t="shared" si="0"/>
        <v>127</v>
      </c>
      <c r="D11" s="25" t="str">
        <f t="shared" si="1"/>
        <v>112000</v>
      </c>
      <c r="E11" s="25" t="s">
        <v>30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>
        <f>-VLOOKUP(B:B,'[3]דוח כספי 10.17 מעודכן'!A:D,4,0)</f>
        <v>32514.5</v>
      </c>
      <c r="R11" s="26">
        <f>VLOOKUP(B:B,'[3]תקבולים 2017'!B:T,17,0)</f>
        <v>0</v>
      </c>
      <c r="S11" s="26">
        <f t="shared" si="2"/>
        <v>39017.399999999994</v>
      </c>
      <c r="T11" s="164">
        <f>VLOOKUP(B11,'תקבולים 2017'!$A$2:$Q$248,17,0)</f>
        <v>0</v>
      </c>
      <c r="U11" s="27">
        <v>0</v>
      </c>
    </row>
    <row r="12" spans="2:21" ht="15">
      <c r="B12" s="24">
        <v>1112000128</v>
      </c>
      <c r="C12" s="25" t="str">
        <f t="shared" si="0"/>
        <v>128</v>
      </c>
      <c r="D12" s="25" t="str">
        <f t="shared" si="1"/>
        <v>112000</v>
      </c>
      <c r="E12" s="25" t="s">
        <v>31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>
        <f>-VLOOKUP(B:B,'[3]דוח כספי 10.17 מעודכן'!A:D,4,0)</f>
        <v>76422.11</v>
      </c>
      <c r="R12" s="26">
        <f>VLOOKUP(B:B,'[3]תקבולים 2017'!B:T,17,0)</f>
        <v>0</v>
      </c>
      <c r="S12" s="26">
        <f t="shared" si="2"/>
        <v>91706.532000000007</v>
      </c>
      <c r="T12" s="164">
        <f>VLOOKUP(B12,'תקבולים 2017'!$A$2:$Q$248,17,0)</f>
        <v>0</v>
      </c>
      <c r="U12" s="27">
        <v>0</v>
      </c>
    </row>
    <row r="13" spans="2:21" ht="15">
      <c r="B13" s="24">
        <v>1112000129</v>
      </c>
      <c r="C13" s="25" t="str">
        <f t="shared" si="0"/>
        <v>129</v>
      </c>
      <c r="D13" s="25" t="str">
        <f t="shared" si="1"/>
        <v>112000</v>
      </c>
      <c r="E13" s="25" t="s">
        <v>32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>
        <f>-VLOOKUP(B:B,'[3]דוח כספי 31.10'!A:J,9,0)</f>
        <v>0</v>
      </c>
      <c r="Q13" s="26">
        <f>-VLOOKUP(B:B,'[3]דוח כספי 10.17 מעודכן'!A:D,4,0)</f>
        <v>82740.92</v>
      </c>
      <c r="R13" s="26">
        <f>VLOOKUP(B:B,'[3]תקבולים 2017'!B:T,17,0)</f>
        <v>0</v>
      </c>
      <c r="S13" s="26">
        <f t="shared" si="2"/>
        <v>99289.104000000007</v>
      </c>
      <c r="T13" s="164">
        <f>VLOOKUP(B13,'תקבולים 2017'!$A$2:$Q$248,17,0)</f>
        <v>0</v>
      </c>
      <c r="U13" s="27">
        <v>0</v>
      </c>
    </row>
    <row r="14" spans="2:21" ht="15">
      <c r="B14" s="24">
        <v>1112000130</v>
      </c>
      <c r="C14" s="25" t="str">
        <f t="shared" si="0"/>
        <v>130</v>
      </c>
      <c r="D14" s="25" t="str">
        <f t="shared" si="1"/>
        <v>112000</v>
      </c>
      <c r="E14" s="25" t="s">
        <v>33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>
        <f>-VLOOKUP(B:B,'[3]דוח כספי 31.10'!A:J,9,0)</f>
        <v>0</v>
      </c>
      <c r="Q14" s="26">
        <f>-VLOOKUP(B:B,'[3]דוח כספי 10.17 מעודכן'!A:D,4,0)</f>
        <v>456559.37</v>
      </c>
      <c r="R14" s="26">
        <f>VLOOKUP(B:B,'[3]תקבולים 2017'!B:T,17,0)</f>
        <v>0</v>
      </c>
      <c r="S14" s="26">
        <f t="shared" si="2"/>
        <v>547871.24399999995</v>
      </c>
      <c r="T14" s="164">
        <f>VLOOKUP(B14,'תקבולים 2017'!$A$2:$Q$248,17,0)</f>
        <v>0</v>
      </c>
      <c r="U14" s="27">
        <v>0</v>
      </c>
    </row>
    <row r="15" spans="2:21" ht="15">
      <c r="B15" s="18">
        <v>1115000100</v>
      </c>
      <c r="C15" s="19" t="str">
        <f t="shared" si="0"/>
        <v>100</v>
      </c>
      <c r="D15" s="19" t="str">
        <f t="shared" si="1"/>
        <v>115000</v>
      </c>
      <c r="E15" s="19" t="s">
        <v>34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>
        <f>VLOOKUP(B:B,'[3]תקבולים 2017'!B:R,15,0)</f>
        <v>2556000</v>
      </c>
      <c r="Q15" s="20">
        <f>-VLOOKUP(B:B,'[3]דוח כספי 10.17 מעודכן'!A:D,4,0)</f>
        <v>1256699.5</v>
      </c>
      <c r="R15" s="20">
        <f>VLOOKUP(B:B,'[3]תקבולים 2017'!B:T,17,0)</f>
        <v>3360000</v>
      </c>
      <c r="S15" s="20">
        <f t="shared" si="2"/>
        <v>1508039.4</v>
      </c>
      <c r="T15" s="164">
        <f>VLOOKUP(B15,'תקבולים 2017'!$A$2:$Q$248,17,0)</f>
        <v>3360000</v>
      </c>
      <c r="U15" s="21">
        <v>3360000</v>
      </c>
    </row>
    <row r="16" spans="2:21" ht="15">
      <c r="B16" s="28"/>
      <c r="C16" s="29"/>
      <c r="D16" s="29"/>
      <c r="E16" s="29" t="s">
        <v>35</v>
      </c>
      <c r="F16" s="30">
        <f t="shared" ref="F16:O16" si="3">SUM(F4:F14)</f>
        <v>6820000</v>
      </c>
      <c r="G16" s="30">
        <f t="shared" si="3"/>
        <v>5594000</v>
      </c>
      <c r="H16" s="30">
        <f t="shared" si="3"/>
        <v>6474000</v>
      </c>
      <c r="I16" s="30">
        <f t="shared" si="3"/>
        <v>7100000</v>
      </c>
      <c r="J16" s="30" t="e">
        <f t="shared" si="3"/>
        <v>#REF!</v>
      </c>
      <c r="K16" s="30" t="e">
        <f t="shared" si="3"/>
        <v>#REF!</v>
      </c>
      <c r="L16" s="30">
        <f t="shared" si="3"/>
        <v>6800000</v>
      </c>
      <c r="M16" s="30">
        <f t="shared" si="3"/>
        <v>6800000</v>
      </c>
      <c r="N16" s="30">
        <f t="shared" si="3"/>
        <v>7000000</v>
      </c>
      <c r="O16" s="30">
        <f t="shared" si="3"/>
        <v>4670000</v>
      </c>
      <c r="P16" s="30">
        <f>SUM(P4:P15)</f>
        <v>9447000</v>
      </c>
      <c r="Q16" s="30">
        <f>SUM(Q4:Q15)</f>
        <v>5688661.4999999991</v>
      </c>
      <c r="R16" s="30">
        <f t="shared" ref="R16" si="4">SUM(R4:R15)</f>
        <v>9710000</v>
      </c>
      <c r="S16" s="30">
        <f>SUM(S4:S15)</f>
        <v>6826393.7999999989</v>
      </c>
      <c r="T16" s="31">
        <f>SUM(T4:T15)</f>
        <v>9710000</v>
      </c>
      <c r="U16" s="31">
        <f>SUM(U4:U15)</f>
        <v>9920000</v>
      </c>
    </row>
    <row r="17" spans="2:21" ht="15">
      <c r="B17" s="18">
        <v>1121000290</v>
      </c>
      <c r="C17" s="19" t="str">
        <f t="shared" ref="C17:C26" si="5">MID(B17,8,3)</f>
        <v>290</v>
      </c>
      <c r="D17" s="19" t="str">
        <f t="shared" ref="D17:D26" si="6">MID(B17,2,6)</f>
        <v>121000</v>
      </c>
      <c r="E17" s="19" t="s">
        <v>36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>
        <f>VLOOKUP(B:B,'[3]תקבולים 2017'!B:R,15,0)</f>
        <v>3000</v>
      </c>
      <c r="Q17" s="20">
        <f>-VLOOKUP(B:B,'[3]דוח כספי 10.17 מעודכן'!A:D,4,0)</f>
        <v>1850</v>
      </c>
      <c r="R17" s="20">
        <f>VLOOKUP(B:B,'[3]תקבולים 2017'!B:T,17,0)</f>
        <v>2000</v>
      </c>
      <c r="S17" s="20">
        <f t="shared" ref="S17:S26" si="7">Q17/10*12</f>
        <v>2220</v>
      </c>
      <c r="T17" s="164">
        <f>VLOOKUP(B17,'תקבולים 2017'!$A$2:$Q$248,17,0)</f>
        <v>2000</v>
      </c>
      <c r="U17" s="21">
        <v>2000</v>
      </c>
    </row>
    <row r="18" spans="2:21" ht="15">
      <c r="B18" s="18">
        <v>1125000290</v>
      </c>
      <c r="C18" s="19" t="str">
        <f t="shared" si="5"/>
        <v>290</v>
      </c>
      <c r="D18" s="19" t="str">
        <f t="shared" si="6"/>
        <v>125000</v>
      </c>
      <c r="E18" s="19" t="s">
        <v>37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>
        <f>VLOOKUP(B:B,'[3]תקבולים 2017'!B:R,15,0)</f>
        <v>108000</v>
      </c>
      <c r="Q18" s="20">
        <f>-VLOOKUP(B:B,'[3]דוח כספי 10.17 מעודכן'!A:D,4,0)</f>
        <v>77973.460000000006</v>
      </c>
      <c r="R18" s="20">
        <f>VLOOKUP(B:B,'[3]תקבולים 2017'!B:T,17,0)</f>
        <v>71000</v>
      </c>
      <c r="S18" s="20">
        <f t="shared" si="7"/>
        <v>93568.152000000002</v>
      </c>
      <c r="T18" s="164">
        <f>VLOOKUP(B18,'תקבולים 2017'!$A$2:$Q$248,17,0)</f>
        <v>71000</v>
      </c>
      <c r="U18" s="21">
        <v>80000</v>
      </c>
    </row>
    <row r="19" spans="2:21" ht="15">
      <c r="B19" s="18">
        <v>1129000290</v>
      </c>
      <c r="C19" s="19" t="str">
        <f t="shared" si="5"/>
        <v>290</v>
      </c>
      <c r="D19" s="19" t="str">
        <f t="shared" si="6"/>
        <v>129000</v>
      </c>
      <c r="E19" s="19" t="s">
        <v>38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>
        <f>VLOOKUP(B:B,'[3]תקבולים 2017'!B:R,15,0)</f>
        <v>284000</v>
      </c>
      <c r="Q19" s="20">
        <f>-VLOOKUP(B:B,'[3]דוח כספי 10.17 מעודכן'!A:D,4,0)</f>
        <v>136650.03</v>
      </c>
      <c r="R19" s="20">
        <f>VLOOKUP(B:B,'[3]תקבולים 2017'!B:T,17,0)</f>
        <v>180000</v>
      </c>
      <c r="S19" s="20">
        <f t="shared" si="7"/>
        <v>163980.03600000002</v>
      </c>
      <c r="T19" s="164">
        <f>VLOOKUP(B19,'תקבולים 2017'!$A$2:$Q$248,17,0)</f>
        <v>180000</v>
      </c>
      <c r="U19" s="21">
        <v>200000</v>
      </c>
    </row>
    <row r="20" spans="2:21" ht="15">
      <c r="B20" s="18">
        <v>1129200290</v>
      </c>
      <c r="C20" s="19" t="str">
        <f t="shared" si="5"/>
        <v>290</v>
      </c>
      <c r="D20" s="19" t="str">
        <f t="shared" si="6"/>
        <v>129200</v>
      </c>
      <c r="E20" s="19" t="s">
        <v>39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>
        <v>302000</v>
      </c>
      <c r="Q20" s="20">
        <f>-VLOOKUP(B:B,'[3]דוח כספי 10.17 מעודכן'!A:D,4,0)</f>
        <v>161006.24</v>
      </c>
      <c r="R20" s="20">
        <v>211000</v>
      </c>
      <c r="S20" s="20">
        <f t="shared" si="7"/>
        <v>193207.48800000001</v>
      </c>
      <c r="T20" s="164">
        <f>VLOOKUP(B20,'תקבולים 2017'!$A$2:$Q$248,17,0)</f>
        <v>210000</v>
      </c>
      <c r="U20" s="21">
        <v>220000</v>
      </c>
    </row>
    <row r="21" spans="2:21" ht="15">
      <c r="B21" s="19">
        <v>1129210290</v>
      </c>
      <c r="C21" s="19" t="str">
        <f t="shared" si="5"/>
        <v>290</v>
      </c>
      <c r="D21" s="19" t="str">
        <f t="shared" si="6"/>
        <v>129210</v>
      </c>
      <c r="E21" s="19" t="s">
        <v>692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164">
        <f>VLOOKUP(B21,'תקבולים 2017'!$A$2:$Q$248,17,0)</f>
        <v>1000</v>
      </c>
      <c r="U21" s="21">
        <v>0</v>
      </c>
    </row>
    <row r="22" spans="2:21" ht="15">
      <c r="B22" s="18">
        <v>1129300290</v>
      </c>
      <c r="C22" s="19" t="str">
        <f t="shared" si="5"/>
        <v>290</v>
      </c>
      <c r="D22" s="19" t="str">
        <f t="shared" si="6"/>
        <v>129300</v>
      </c>
      <c r="E22" s="19" t="s">
        <v>40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>
        <f>VLOOKUP(B:B,'[3]תקבולים 2017'!B:R,15,0)</f>
        <v>68000</v>
      </c>
      <c r="Q22" s="20">
        <f>-VLOOKUP(B:B,'[3]דוח כספי 10.17 מעודכן'!A:D,4,0)</f>
        <v>93562.240000000005</v>
      </c>
      <c r="R22" s="20">
        <v>232000</v>
      </c>
      <c r="S22" s="20">
        <f t="shared" si="7"/>
        <v>112274.68799999999</v>
      </c>
      <c r="T22" s="164">
        <f>VLOOKUP(B22,'תקבולים 2017'!$A$2:$Q$248,17,0)</f>
        <v>120000</v>
      </c>
      <c r="U22" s="21">
        <v>150000</v>
      </c>
    </row>
    <row r="23" spans="2:21" ht="15">
      <c r="B23" s="18">
        <v>1129400290</v>
      </c>
      <c r="C23" s="19" t="str">
        <f t="shared" si="5"/>
        <v>290</v>
      </c>
      <c r="D23" s="19" t="str">
        <f t="shared" si="6"/>
        <v>129400</v>
      </c>
      <c r="E23" s="19" t="s">
        <v>41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>
        <f>VLOOKUP(B:B,'[3]תקבולים 2017'!B:R,15,0)</f>
        <v>32000</v>
      </c>
      <c r="Q23" s="20">
        <f>-VLOOKUP(B:B,'[3]דוח כספי 10.17 מעודכן'!A:D,4,0)</f>
        <v>79500</v>
      </c>
      <c r="R23" s="20">
        <f>VLOOKUP(B:B,'[3]תקבולים 2017'!B:T,17,0)</f>
        <v>102000</v>
      </c>
      <c r="S23" s="20">
        <f t="shared" si="7"/>
        <v>95400</v>
      </c>
      <c r="T23" s="164">
        <f>VLOOKUP(B23,'תקבולים 2017'!$A$2:$Q$248,17,0)</f>
        <v>102000</v>
      </c>
      <c r="U23" s="21">
        <v>105000</v>
      </c>
    </row>
    <row r="24" spans="2:21" ht="15">
      <c r="B24" s="18">
        <v>1129500290</v>
      </c>
      <c r="C24" s="19" t="str">
        <f t="shared" si="5"/>
        <v>290</v>
      </c>
      <c r="D24" s="19" t="str">
        <f t="shared" si="6"/>
        <v>129500</v>
      </c>
      <c r="E24" s="19" t="s">
        <v>42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>
        <f>VLOOKUP(B:B,'[3]תקבולים 2017'!B:R,15,0)</f>
        <v>16000</v>
      </c>
      <c r="Q24" s="20">
        <f>-VLOOKUP(B:B,'[3]דוח כספי 10.17 מעודכן'!A:D,4,0)</f>
        <v>16269.88</v>
      </c>
      <c r="R24" s="20">
        <f>VLOOKUP(B:B,'[3]תקבולים 2017'!B:T,17,0)</f>
        <v>18000</v>
      </c>
      <c r="S24" s="20">
        <f t="shared" si="7"/>
        <v>19523.856</v>
      </c>
      <c r="T24" s="164">
        <f>VLOOKUP(B24,'תקבולים 2017'!$A$2:$Q$248,17,0)</f>
        <v>18000</v>
      </c>
      <c r="U24" s="21">
        <v>20000</v>
      </c>
    </row>
    <row r="25" spans="2:21" ht="15">
      <c r="B25" s="18">
        <v>1129600290</v>
      </c>
      <c r="C25" s="19" t="str">
        <f t="shared" si="5"/>
        <v>290</v>
      </c>
      <c r="D25" s="19" t="str">
        <f t="shared" si="6"/>
        <v>129600</v>
      </c>
      <c r="E25" s="19" t="s">
        <v>43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>
        <f>VLOOKUP(B:B,'[3]תקבולים 2017'!B:R,15,0)</f>
        <v>155000</v>
      </c>
      <c r="Q25" s="20">
        <f>-VLOOKUP(B:B,'[3]דוח כספי 10.17 מעודכן'!A:D,4,0)</f>
        <v>140765.07</v>
      </c>
      <c r="R25" s="20">
        <f>VLOOKUP(B:B,'[3]תקבולים 2017'!B:T,17,0)</f>
        <v>174000</v>
      </c>
      <c r="S25" s="20">
        <f t="shared" si="7"/>
        <v>168918.08400000003</v>
      </c>
      <c r="T25" s="164">
        <f>VLOOKUP(B25,'תקבולים 2017'!$A$2:$Q$248,17,0)</f>
        <v>174000</v>
      </c>
      <c r="U25" s="21">
        <v>175000</v>
      </c>
    </row>
    <row r="26" spans="2:21" ht="15">
      <c r="B26" s="24">
        <v>1129610290</v>
      </c>
      <c r="C26" s="25" t="str">
        <f t="shared" si="5"/>
        <v>290</v>
      </c>
      <c r="D26" s="25" t="str">
        <f t="shared" si="6"/>
        <v>129610</v>
      </c>
      <c r="E26" s="25" t="s">
        <v>44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>
        <f>VLOOKUP(B:B,'[3]תקבולים 2017'!B:R,15,0)</f>
        <v>0</v>
      </c>
      <c r="Q26" s="26">
        <f>-VLOOKUP(B:B,'[3]דוח כספי 10.17 מעודכן'!A:D,4,0)</f>
        <v>112269</v>
      </c>
      <c r="R26" s="26"/>
      <c r="S26" s="26">
        <f t="shared" si="7"/>
        <v>134722.79999999999</v>
      </c>
      <c r="T26" s="164">
        <f>VLOOKUP(B26,'תקבולים 2017'!$A$2:$Q$248,17,0)</f>
        <v>112000</v>
      </c>
      <c r="U26" s="27">
        <v>0</v>
      </c>
    </row>
    <row r="27" spans="2:21" ht="15">
      <c r="B27" s="18">
        <v>1129700290</v>
      </c>
      <c r="C27" s="19" t="s">
        <v>46</v>
      </c>
      <c r="D27" s="19" t="s">
        <v>47</v>
      </c>
      <c r="E27" s="19" t="s">
        <v>48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>
        <f>VLOOKUP(B:B,'[3]תקבולים 2017'!B:R,15,0)</f>
        <v>136000</v>
      </c>
      <c r="Q27" s="20">
        <f>-VLOOKUP(B:B,'[3]דוח כספי 10.17 מעודכן'!A:D,4,0)</f>
        <v>93272.93</v>
      </c>
      <c r="R27" s="20">
        <f>VLOOKUP(B:B,'[3]תקבולים 2017'!B:T,17,0)</f>
        <v>120000</v>
      </c>
      <c r="S27" s="20">
        <v>120000</v>
      </c>
      <c r="T27" s="164">
        <f>VLOOKUP(B27,'תקבולים 2017'!$A$2:$Q$248,17,0)</f>
        <v>120000</v>
      </c>
      <c r="U27" s="21">
        <v>120000</v>
      </c>
    </row>
    <row r="28" spans="2:21" ht="15">
      <c r="B28" s="18">
        <v>1129800290</v>
      </c>
      <c r="C28" s="19" t="s">
        <v>46</v>
      </c>
      <c r="D28" s="19" t="s">
        <v>49</v>
      </c>
      <c r="E28" s="19" t="s">
        <v>50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>
        <f>VLOOKUP(B:B,'[3]תקבולים 2017'!B:R,15,0)</f>
        <v>0</v>
      </c>
      <c r="Q28" s="20">
        <f>-VLOOKUP(B:B,'[3]דוח כספי 10.17 מעודכן'!A:D,4,0)</f>
        <v>7360</v>
      </c>
      <c r="R28" s="20">
        <f>VLOOKUP(B:B,'[3]תקבולים 2017'!B:T,17,0)</f>
        <v>0</v>
      </c>
      <c r="S28" s="20">
        <v>8832</v>
      </c>
      <c r="T28" s="164">
        <f>VLOOKUP(B28,'תקבולים 2017'!$A$2:$Q$248,17,0)</f>
        <v>0</v>
      </c>
      <c r="U28" s="21"/>
    </row>
    <row r="29" spans="2:21" ht="15">
      <c r="B29" s="18">
        <v>1129900290</v>
      </c>
      <c r="C29" s="19" t="str">
        <f>MID(B29,8,3)</f>
        <v>290</v>
      </c>
      <c r="D29" s="19" t="str">
        <f>MID(B29,2,6)</f>
        <v>129900</v>
      </c>
      <c r="E29" s="19" t="s">
        <v>51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>
        <f>VLOOKUP(B:B,'[3]תקבולים 2017'!B:R,15,0)</f>
        <v>0</v>
      </c>
      <c r="Q29" s="20">
        <f>-VLOOKUP(B:B,'[3]דוח כספי 10.17 מעודכן'!A:D,4,0)</f>
        <v>0</v>
      </c>
      <c r="R29" s="20">
        <f>VLOOKUP(B:B,'[3]תקבולים 2017'!B:T,17,0)</f>
        <v>0</v>
      </c>
      <c r="S29" s="20">
        <f>Q29/10*12</f>
        <v>0</v>
      </c>
      <c r="T29" s="164">
        <f>VLOOKUP(B29,'תקבולים 2017'!$A$2:$Q$248,17,0)</f>
        <v>0</v>
      </c>
      <c r="U29" s="21">
        <v>0</v>
      </c>
    </row>
    <row r="30" spans="2:21" ht="15">
      <c r="B30" s="18">
        <v>1131690290</v>
      </c>
      <c r="C30" s="19" t="s">
        <v>46</v>
      </c>
      <c r="D30" s="19" t="s">
        <v>52</v>
      </c>
      <c r="E30" s="19" t="s">
        <v>53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>
        <f>VLOOKUP(B:B,'[3]תקבולים 2017'!B:R,15,0)</f>
        <v>0</v>
      </c>
      <c r="Q30" s="20">
        <f>-VLOOKUP(B:B,'[3]דוח כספי 10.17 מעודכן'!A:D,4,0)</f>
        <v>0</v>
      </c>
      <c r="R30" s="20">
        <f>VLOOKUP(B:B,'[3]תקבולים 2017'!B:T,17,0)</f>
        <v>0</v>
      </c>
      <c r="S30" s="20">
        <v>0</v>
      </c>
      <c r="T30" s="164">
        <f>VLOOKUP(B30,'תקבולים 2017'!$A$2:$Q$248,17,0)</f>
        <v>0</v>
      </c>
      <c r="U30" s="21">
        <v>250000</v>
      </c>
    </row>
    <row r="31" spans="2:21" ht="15">
      <c r="B31" s="18">
        <v>1157000690</v>
      </c>
      <c r="C31" s="19" t="str">
        <f>MID(B31,8,3)</f>
        <v>690</v>
      </c>
      <c r="D31" s="19" t="str">
        <f>MID(B31,2,6)</f>
        <v>157000</v>
      </c>
      <c r="E31" s="19" t="s">
        <v>54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>
        <f>VLOOKUP(B:B,'[3]תקבולים 2017'!B:R,15,0)</f>
        <v>15000</v>
      </c>
      <c r="Q31" s="20">
        <f>-VLOOKUP(B:B,'[3]דוח כספי 10.17 מעודכן'!A:D,4,0)</f>
        <v>30959</v>
      </c>
      <c r="R31" s="20">
        <f>VLOOKUP(B:B,'[3]תקבולים 2017'!B:T,17,0)</f>
        <v>35000</v>
      </c>
      <c r="S31" s="20">
        <f>Q31/10*12</f>
        <v>37150.800000000003</v>
      </c>
      <c r="T31" s="164">
        <f>VLOOKUP(B31,'תקבולים 2017'!$A$2:$Q$248,17,0)</f>
        <v>35000</v>
      </c>
      <c r="U31" s="21">
        <v>38000</v>
      </c>
    </row>
    <row r="32" spans="2:21" ht="15">
      <c r="B32" s="18">
        <v>1157000740</v>
      </c>
      <c r="C32" s="19" t="str">
        <f>MID(B32,8,3)</f>
        <v>740</v>
      </c>
      <c r="D32" s="19" t="str">
        <f>MID(B32,2,6)</f>
        <v>157000</v>
      </c>
      <c r="E32" s="19" t="s">
        <v>55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>
        <f>VLOOKUP(B:B,'[3]תקבולים 2017'!B:R,15,0)</f>
        <v>0</v>
      </c>
      <c r="Q32" s="20">
        <f>-VLOOKUP(B:B,'[3]דוח כספי 10.17 מעודכן'!A:D,4,0)</f>
        <v>0</v>
      </c>
      <c r="R32" s="20">
        <f>VLOOKUP(B:B,'[3]תקבולים 2017'!B:T,17,0)</f>
        <v>0</v>
      </c>
      <c r="S32" s="20">
        <f>Q32/10*12</f>
        <v>0</v>
      </c>
      <c r="T32" s="164">
        <f>VLOOKUP(B32,'תקבולים 2017'!$A$2:$Q$248,17,0)</f>
        <v>0</v>
      </c>
      <c r="U32" s="21">
        <v>0</v>
      </c>
    </row>
    <row r="33" spans="2:21" ht="15">
      <c r="B33" s="18">
        <v>1160000290</v>
      </c>
      <c r="C33" s="19" t="str">
        <f>MID(B33,8,3)</f>
        <v>290</v>
      </c>
      <c r="D33" s="19" t="str">
        <f>MID(B33,2,6)</f>
        <v>160000</v>
      </c>
      <c r="E33" s="19" t="s">
        <v>56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>
        <f>VLOOKUP(B:B,'[3]תקבולים 2017'!B:R,15,0)</f>
        <v>0</v>
      </c>
      <c r="Q33" s="20">
        <f>-VLOOKUP(B:B,'[3]דוח כספי 10.17 מעודכן'!A:D,4,0)</f>
        <v>0.48</v>
      </c>
      <c r="R33" s="20">
        <f>VLOOKUP(B:B,'[3]תקבולים 2017'!B:T,17,0)</f>
        <v>0</v>
      </c>
      <c r="S33" s="20">
        <f>Q33/10*12</f>
        <v>0.57600000000000007</v>
      </c>
      <c r="T33" s="164">
        <f>VLOOKUP(B33,'תקבולים 2017'!$A$2:$Q$248,17,0)</f>
        <v>0</v>
      </c>
      <c r="U33" s="21">
        <v>0</v>
      </c>
    </row>
    <row r="34" spans="2:21" ht="15">
      <c r="B34" s="28"/>
      <c r="C34" s="29"/>
      <c r="D34" s="29"/>
      <c r="E34" s="29" t="s">
        <v>57</v>
      </c>
      <c r="F34" s="30">
        <f t="shared" ref="F34:O34" si="8">SUM(F24:F24)</f>
        <v>0</v>
      </c>
      <c r="G34" s="30">
        <f t="shared" si="8"/>
        <v>0</v>
      </c>
      <c r="H34" s="30">
        <f t="shared" si="8"/>
        <v>0</v>
      </c>
      <c r="I34" s="30">
        <f t="shared" si="8"/>
        <v>0</v>
      </c>
      <c r="J34" s="30">
        <f t="shared" si="8"/>
        <v>0</v>
      </c>
      <c r="K34" s="30">
        <f t="shared" si="8"/>
        <v>0</v>
      </c>
      <c r="L34" s="30">
        <f t="shared" si="8"/>
        <v>0</v>
      </c>
      <c r="M34" s="30">
        <f t="shared" si="8"/>
        <v>0</v>
      </c>
      <c r="N34" s="30">
        <f t="shared" si="8"/>
        <v>0</v>
      </c>
      <c r="O34" s="30">
        <f t="shared" si="8"/>
        <v>0</v>
      </c>
      <c r="P34" s="30">
        <f t="shared" ref="P34:U34" si="9">SUM(P17:P33)</f>
        <v>1119000</v>
      </c>
      <c r="Q34" s="30">
        <f t="shared" si="9"/>
        <v>951438.32999999984</v>
      </c>
      <c r="R34" s="30">
        <f t="shared" si="9"/>
        <v>1145000</v>
      </c>
      <c r="S34" s="30">
        <f t="shared" si="9"/>
        <v>1149798.48</v>
      </c>
      <c r="T34" s="31">
        <f t="shared" si="9"/>
        <v>1145000</v>
      </c>
      <c r="U34" s="31">
        <f t="shared" si="9"/>
        <v>1360000</v>
      </c>
    </row>
    <row r="35" spans="2:21" ht="15">
      <c r="B35" s="32"/>
      <c r="C35" s="33"/>
      <c r="D35" s="33"/>
      <c r="E35" s="33" t="s">
        <v>58</v>
      </c>
      <c r="F35" s="34">
        <f t="shared" ref="F35:U35" si="10">F34+F16</f>
        <v>6820000</v>
      </c>
      <c r="G35" s="34">
        <f t="shared" si="10"/>
        <v>5594000</v>
      </c>
      <c r="H35" s="34">
        <f t="shared" si="10"/>
        <v>6474000</v>
      </c>
      <c r="I35" s="34">
        <f t="shared" si="10"/>
        <v>7100000</v>
      </c>
      <c r="J35" s="34" t="e">
        <f t="shared" si="10"/>
        <v>#REF!</v>
      </c>
      <c r="K35" s="34" t="e">
        <f t="shared" si="10"/>
        <v>#REF!</v>
      </c>
      <c r="L35" s="34">
        <f t="shared" si="10"/>
        <v>6800000</v>
      </c>
      <c r="M35" s="34">
        <f t="shared" si="10"/>
        <v>6800000</v>
      </c>
      <c r="N35" s="34">
        <f t="shared" si="10"/>
        <v>7000000</v>
      </c>
      <c r="O35" s="34">
        <f t="shared" si="10"/>
        <v>4670000</v>
      </c>
      <c r="P35" s="34">
        <f t="shared" si="10"/>
        <v>10566000</v>
      </c>
      <c r="Q35" s="34">
        <f t="shared" si="10"/>
        <v>6640099.8299999991</v>
      </c>
      <c r="R35" s="34">
        <f t="shared" si="10"/>
        <v>10855000</v>
      </c>
      <c r="S35" s="34">
        <f t="shared" si="10"/>
        <v>7976192.2799999993</v>
      </c>
      <c r="T35" s="35">
        <f t="shared" si="10"/>
        <v>10855000</v>
      </c>
      <c r="U35" s="35">
        <f t="shared" si="10"/>
        <v>11280000</v>
      </c>
    </row>
    <row r="36" spans="2:21" ht="15">
      <c r="B36" s="36"/>
      <c r="C36" s="228" t="s">
        <v>59</v>
      </c>
      <c r="D36" s="228"/>
      <c r="E36" s="37"/>
      <c r="F36" s="37"/>
      <c r="G36" s="37"/>
      <c r="H36" s="37"/>
      <c r="I36" s="38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164"/>
      <c r="U36" s="21"/>
    </row>
    <row r="37" spans="2:21" ht="15">
      <c r="B37" s="18">
        <v>1190000910</v>
      </c>
      <c r="C37" s="19" t="str">
        <f>MID(B37,8,3)</f>
        <v>910</v>
      </c>
      <c r="D37" s="19" t="str">
        <f>MID(B37,2,6)</f>
        <v>190000</v>
      </c>
      <c r="E37" s="19" t="s">
        <v>59</v>
      </c>
      <c r="F37" s="20">
        <v>9964550</v>
      </c>
      <c r="G37" s="20">
        <v>8240000</v>
      </c>
      <c r="H37" s="20">
        <v>10038710</v>
      </c>
      <c r="I37" s="20">
        <f>H37</f>
        <v>10038710</v>
      </c>
      <c r="J37" s="20">
        <f>10241423*0.583333333333333</f>
        <v>5974163.4166666633</v>
      </c>
      <c r="K37" s="20">
        <f>+J37*1.71428571428571</f>
        <v>10241422.999999968</v>
      </c>
      <c r="L37" s="20">
        <v>10241423</v>
      </c>
      <c r="M37" s="20">
        <v>10241000</v>
      </c>
      <c r="N37" s="20">
        <v>10241000</v>
      </c>
      <c r="O37" s="20">
        <v>6829000</v>
      </c>
      <c r="P37" s="20">
        <f>VLOOKUP(B:B,'[3]תקבולים 2017'!B:R,15,0)</f>
        <v>9992000</v>
      </c>
      <c r="Q37" s="20">
        <f>-VLOOKUP(B:B,'[3]דוח כספי 10.17 מעודכן'!A:D,4,0)</f>
        <v>9743365.0899999999</v>
      </c>
      <c r="R37" s="20">
        <f>VLOOKUP(B:B,'[3]תקבולים 2017'!B:T,17,0)</f>
        <v>12936000</v>
      </c>
      <c r="S37" s="20">
        <f>Q37/10*12</f>
        <v>11692038.107999999</v>
      </c>
      <c r="T37" s="164">
        <f>VLOOKUP(B37,'תקבולים 2017'!$A$2:$Q$248,17,0)</f>
        <v>12936000</v>
      </c>
      <c r="U37" s="21">
        <v>13394000</v>
      </c>
    </row>
    <row r="38" spans="2:21" ht="15">
      <c r="B38" s="28"/>
      <c r="C38" s="29"/>
      <c r="D38" s="29"/>
      <c r="E38" s="29" t="s">
        <v>60</v>
      </c>
      <c r="F38" s="30">
        <f>SUM(F37)</f>
        <v>9964550</v>
      </c>
      <c r="G38" s="30">
        <f>SUM(G37)</f>
        <v>8240000</v>
      </c>
      <c r="H38" s="30">
        <f>SUM(H37)</f>
        <v>10038710</v>
      </c>
      <c r="I38" s="30">
        <f>SUM(I37)</f>
        <v>10038710</v>
      </c>
      <c r="J38" s="30">
        <f>SUM(J37)</f>
        <v>5974163.4166666633</v>
      </c>
      <c r="K38" s="30">
        <f t="shared" ref="K38:O38" si="11">SUM(K37)</f>
        <v>10241422.999999968</v>
      </c>
      <c r="L38" s="30">
        <f t="shared" si="11"/>
        <v>10241423</v>
      </c>
      <c r="M38" s="30">
        <f t="shared" si="11"/>
        <v>10241000</v>
      </c>
      <c r="N38" s="30">
        <f t="shared" si="11"/>
        <v>10241000</v>
      </c>
      <c r="O38" s="30">
        <f t="shared" si="11"/>
        <v>6829000</v>
      </c>
      <c r="P38" s="30">
        <f>SUM(P37)</f>
        <v>9992000</v>
      </c>
      <c r="Q38" s="30">
        <f>SUM(Q37)</f>
        <v>9743365.0899999999</v>
      </c>
      <c r="R38" s="30">
        <f t="shared" ref="R38" si="12">SUM(R37)</f>
        <v>12936000</v>
      </c>
      <c r="S38" s="30">
        <f>SUM(S37)</f>
        <v>11692038.107999999</v>
      </c>
      <c r="T38" s="31">
        <f>SUM(T37)</f>
        <v>12936000</v>
      </c>
      <c r="U38" s="31">
        <f>SUM(U37)</f>
        <v>13394000</v>
      </c>
    </row>
    <row r="39" spans="2:21" ht="15">
      <c r="B39" s="36"/>
      <c r="C39" s="228" t="s">
        <v>61</v>
      </c>
      <c r="D39" s="228"/>
      <c r="E39" s="37"/>
      <c r="F39" s="37"/>
      <c r="G39" s="37"/>
      <c r="H39" s="37"/>
      <c r="I39" s="38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164"/>
      <c r="U39" s="21"/>
    </row>
    <row r="40" spans="2:21" ht="15">
      <c r="B40" s="24">
        <v>1190000920</v>
      </c>
      <c r="C40" s="25" t="str">
        <f>MID(B40,8,3)</f>
        <v>920</v>
      </c>
      <c r="D40" s="25" t="str">
        <f>MID(B40,2,6)</f>
        <v>190000</v>
      </c>
      <c r="E40" s="25" t="s">
        <v>62</v>
      </c>
      <c r="F40" s="26"/>
      <c r="G40" s="26">
        <v>161696</v>
      </c>
      <c r="H40" s="26">
        <v>161696</v>
      </c>
      <c r="I40" s="26"/>
      <c r="J40" s="26">
        <f>2349000*0.583333333333333</f>
        <v>1370249.9999999993</v>
      </c>
      <c r="K40" s="26">
        <v>2349000</v>
      </c>
      <c r="L40" s="26">
        <v>2349000</v>
      </c>
      <c r="M40" s="26">
        <v>2249000</v>
      </c>
      <c r="N40" s="26">
        <v>2249000</v>
      </c>
      <c r="O40" s="26">
        <v>1499333</v>
      </c>
      <c r="P40" s="26">
        <f>VLOOKUP(B:B,'[3]תקבולים 2017'!B:R,15,0)</f>
        <v>0</v>
      </c>
      <c r="Q40" s="26">
        <f>-VLOOKUP(B:B,'[3]דוח כספי 10.17 מעודכן'!A:D,4,0)</f>
        <v>226425</v>
      </c>
      <c r="R40" s="26"/>
      <c r="S40" s="26">
        <v>226425</v>
      </c>
      <c r="T40" s="164">
        <f>VLOOKUP(B40,'תקבולים 2017'!$A$2:$Q$248,17,0)</f>
        <v>250000</v>
      </c>
      <c r="U40" s="27">
        <v>0</v>
      </c>
    </row>
    <row r="41" spans="2:21" ht="15">
      <c r="B41" s="18">
        <v>1191000910</v>
      </c>
      <c r="C41" s="19" t="str">
        <f>MID(B41,8,3)</f>
        <v>910</v>
      </c>
      <c r="D41" s="19" t="str">
        <f>MID(B41,2,6)</f>
        <v>191000</v>
      </c>
      <c r="E41" s="19" t="s">
        <v>63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>
        <f>VLOOKUP(B:B,'[3]תקבולים 2017'!B:R,15,0)</f>
        <v>298000</v>
      </c>
      <c r="Q41" s="20">
        <f>-VLOOKUP(B:B,'[3]דוח כספי 10.17 מעודכן'!A:D,4,0)</f>
        <v>0</v>
      </c>
      <c r="R41" s="20">
        <v>250000</v>
      </c>
      <c r="S41" s="20">
        <f>Q41/10*12</f>
        <v>0</v>
      </c>
      <c r="T41" s="164">
        <f>VLOOKUP(B41,'תקבולים 2017'!$A$2:$Q$248,17,0)</f>
        <v>0</v>
      </c>
      <c r="U41" s="21">
        <v>0</v>
      </c>
    </row>
    <row r="42" spans="2:21" ht="15">
      <c r="B42" s="24">
        <v>1191000920</v>
      </c>
      <c r="C42" s="25" t="str">
        <f>MID(B42,8,3)</f>
        <v>920</v>
      </c>
      <c r="D42" s="25" t="str">
        <f>MID(B42,2,6)</f>
        <v>191000</v>
      </c>
      <c r="E42" s="25" t="s">
        <v>64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>
        <v>0</v>
      </c>
      <c r="Q42" s="26">
        <v>0</v>
      </c>
      <c r="R42" s="26">
        <v>0</v>
      </c>
      <c r="S42" s="26">
        <v>0</v>
      </c>
      <c r="T42" s="164">
        <v>0</v>
      </c>
      <c r="U42" s="27">
        <v>80000</v>
      </c>
    </row>
    <row r="43" spans="2:21" ht="15">
      <c r="B43" s="18">
        <v>1196000910</v>
      </c>
      <c r="C43" s="19" t="str">
        <f>MID(B43,8,3)</f>
        <v>910</v>
      </c>
      <c r="D43" s="19" t="str">
        <f>MID(B43,2,6)</f>
        <v>196000</v>
      </c>
      <c r="E43" s="19" t="s">
        <v>65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>
        <f>VLOOKUP(B:B,'[3]תקבולים 2017'!B:R,15,0)</f>
        <v>1689000</v>
      </c>
      <c r="Q43" s="20">
        <f>-VLOOKUP(B:B,'[3]דוח כספי 10.17 מעודכן'!A:D,4,0)</f>
        <v>1689270.2</v>
      </c>
      <c r="R43" s="20">
        <f>VLOOKUP(B:B,'[3]תקבולים 2017'!B:T,17,0)</f>
        <v>1689000</v>
      </c>
      <c r="S43" s="20">
        <v>1689270.2</v>
      </c>
      <c r="T43" s="164">
        <f>VLOOKUP(B43,'תקבולים 2017'!$A$2:$Q$248,17,0)</f>
        <v>1689000</v>
      </c>
      <c r="U43" s="21">
        <v>705000</v>
      </c>
    </row>
    <row r="44" spans="2:21" ht="15">
      <c r="B44" s="18">
        <v>1197000910</v>
      </c>
      <c r="C44" s="19" t="str">
        <f>MID(B44,8,3)</f>
        <v>910</v>
      </c>
      <c r="D44" s="19" t="str">
        <f>MID(B44,2,6)</f>
        <v>197000</v>
      </c>
      <c r="E44" s="19" t="s">
        <v>66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>
        <f>VLOOKUP(B:B,'[3]תקבולים 2017'!B:R,15,0)</f>
        <v>0</v>
      </c>
      <c r="Q44" s="20">
        <f>-VLOOKUP(B:B,'[3]דוח כספי 10.17 מעודכן'!A:D,4,0)</f>
        <v>0</v>
      </c>
      <c r="R44" s="20">
        <f>VLOOKUP(B:B,'[3]תקבולים 2017'!B:T,17,0)</f>
        <v>0</v>
      </c>
      <c r="S44" s="20">
        <f>Q44/10*12</f>
        <v>0</v>
      </c>
      <c r="T44" s="164">
        <f>VLOOKUP(B44,'תקבולים 2017'!$A$2:$Q$248,17,0)</f>
        <v>0</v>
      </c>
      <c r="U44" s="21">
        <v>0</v>
      </c>
    </row>
    <row r="45" spans="2:21" ht="15">
      <c r="B45" s="28"/>
      <c r="C45" s="29"/>
      <c r="D45" s="29"/>
      <c r="E45" s="29" t="s">
        <v>61</v>
      </c>
      <c r="F45" s="30">
        <f t="shared" ref="F45:O45" si="13">SUM(F44)</f>
        <v>0</v>
      </c>
      <c r="G45" s="30">
        <f t="shared" si="13"/>
        <v>0</v>
      </c>
      <c r="H45" s="30">
        <f t="shared" si="13"/>
        <v>0</v>
      </c>
      <c r="I45" s="30">
        <f t="shared" si="13"/>
        <v>0</v>
      </c>
      <c r="J45" s="30">
        <f t="shared" si="13"/>
        <v>0</v>
      </c>
      <c r="K45" s="30">
        <f t="shared" si="13"/>
        <v>0</v>
      </c>
      <c r="L45" s="30">
        <f t="shared" si="13"/>
        <v>0</v>
      </c>
      <c r="M45" s="30">
        <f t="shared" si="13"/>
        <v>0</v>
      </c>
      <c r="N45" s="30">
        <f t="shared" si="13"/>
        <v>0</v>
      </c>
      <c r="O45" s="30">
        <f t="shared" si="13"/>
        <v>0</v>
      </c>
      <c r="P45" s="30">
        <f t="shared" ref="P45:Q45" si="14">SUM(P40:P44)</f>
        <v>1987000</v>
      </c>
      <c r="Q45" s="30">
        <f t="shared" si="14"/>
        <v>1915695.2</v>
      </c>
      <c r="R45" s="30">
        <f t="shared" ref="R45" si="15">SUM(R40:R44)</f>
        <v>1939000</v>
      </c>
      <c r="S45" s="30">
        <f>SUM(S40:S44)</f>
        <v>1915695.2</v>
      </c>
      <c r="T45" s="31">
        <f>SUM(T40:T44)</f>
        <v>1939000</v>
      </c>
      <c r="U45" s="31">
        <f>SUM(U40:U44)</f>
        <v>785000</v>
      </c>
    </row>
    <row r="46" spans="2:21" ht="15">
      <c r="B46" s="32"/>
      <c r="C46" s="33"/>
      <c r="D46" s="33"/>
      <c r="E46" s="33" t="s">
        <v>67</v>
      </c>
      <c r="F46" s="34">
        <f t="shared" ref="F46:O46" si="16">+F45+F38+F35</f>
        <v>16784550</v>
      </c>
      <c r="G46" s="34">
        <f t="shared" si="16"/>
        <v>13834000</v>
      </c>
      <c r="H46" s="34">
        <f t="shared" si="16"/>
        <v>16512710</v>
      </c>
      <c r="I46" s="34">
        <f t="shared" si="16"/>
        <v>17138710</v>
      </c>
      <c r="J46" s="34" t="e">
        <f t="shared" si="16"/>
        <v>#REF!</v>
      </c>
      <c r="K46" s="34" t="e">
        <f t="shared" si="16"/>
        <v>#REF!</v>
      </c>
      <c r="L46" s="34">
        <f t="shared" si="16"/>
        <v>17041423</v>
      </c>
      <c r="M46" s="34">
        <f t="shared" si="16"/>
        <v>17041000</v>
      </c>
      <c r="N46" s="34">
        <f t="shared" si="16"/>
        <v>17241000</v>
      </c>
      <c r="O46" s="34">
        <f t="shared" si="16"/>
        <v>11499000</v>
      </c>
      <c r="P46" s="34">
        <f t="shared" ref="P46:R46" si="17">P38+P45</f>
        <v>11979000</v>
      </c>
      <c r="Q46" s="34">
        <f t="shared" si="17"/>
        <v>11659060.289999999</v>
      </c>
      <c r="R46" s="34">
        <f t="shared" si="17"/>
        <v>14875000</v>
      </c>
      <c r="S46" s="34">
        <f>S38+S45</f>
        <v>13607733.307999998</v>
      </c>
      <c r="T46" s="35">
        <f>T38+T45</f>
        <v>14875000</v>
      </c>
      <c r="U46" s="35">
        <f>U38+U45</f>
        <v>14179000</v>
      </c>
    </row>
    <row r="47" spans="2:21" ht="15">
      <c r="B47" s="36"/>
      <c r="C47" s="37" t="s">
        <v>68</v>
      </c>
      <c r="D47" s="37"/>
      <c r="E47" s="37"/>
      <c r="F47" s="37"/>
      <c r="G47" s="37"/>
      <c r="H47" s="37"/>
      <c r="I47" s="38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164"/>
      <c r="U47" s="21"/>
    </row>
    <row r="48" spans="2:21" ht="15">
      <c r="B48" s="18"/>
      <c r="C48" s="19"/>
      <c r="D48" s="19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164"/>
      <c r="U48" s="21"/>
    </row>
    <row r="49" spans="2:21" ht="15">
      <c r="B49" s="18">
        <v>1212300620</v>
      </c>
      <c r="C49" s="19" t="str">
        <f>MID(B49,8,3)</f>
        <v>620</v>
      </c>
      <c r="D49" s="19" t="str">
        <f>MID(B49,2,6)</f>
        <v>212300</v>
      </c>
      <c r="E49" s="19" t="s">
        <v>69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>
        <f>VLOOKUP(B:B,'[3]תקבולים 2017'!B:R,15,0)</f>
        <v>0</v>
      </c>
      <c r="Q49" s="20">
        <f>-VLOOKUP(B:B,'[3]דוח כספי 10.17 מעודכן'!A:D,4,0)</f>
        <v>1200</v>
      </c>
      <c r="R49" s="20">
        <f>VLOOKUP(B:B,'[3]תקבולים 2017'!B:T,17,0)</f>
        <v>2000</v>
      </c>
      <c r="S49" s="20">
        <f>Q49/10*12</f>
        <v>1440</v>
      </c>
      <c r="T49" s="164">
        <f>VLOOKUP(B49,'תקבולים 2017'!$A$2:$Q$248,17,0)</f>
        <v>2000</v>
      </c>
      <c r="U49" s="21">
        <v>1500</v>
      </c>
    </row>
    <row r="50" spans="2:21" ht="15">
      <c r="B50" s="18">
        <v>1213200920</v>
      </c>
      <c r="C50" s="19" t="s">
        <v>70</v>
      </c>
      <c r="D50" s="19" t="s">
        <v>71</v>
      </c>
      <c r="E50" s="19" t="s">
        <v>72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>
        <f>VLOOKUP(B:B,'[3]תקבולים 2017'!B:R,15,0)</f>
        <v>0</v>
      </c>
      <c r="Q50" s="20">
        <f>-VLOOKUP(B:B,'[3]דוח כספי 10.17 מעודכן'!A:D,4,0)</f>
        <v>331.83</v>
      </c>
      <c r="R50" s="20">
        <f>VLOOKUP(B:B,'[3]תקבולים 2017'!B:T,17,0)</f>
        <v>0</v>
      </c>
      <c r="S50" s="20">
        <v>12</v>
      </c>
      <c r="T50" s="164">
        <f>VLOOKUP(B50,'תקבולים 2017'!$A$2:$Q$248,17,0)</f>
        <v>0</v>
      </c>
      <c r="U50" s="21">
        <v>0</v>
      </c>
    </row>
    <row r="51" spans="2:21" ht="15">
      <c r="B51" s="18">
        <v>1213200920</v>
      </c>
      <c r="C51" s="19" t="str">
        <f>MID(B51,8,3)</f>
        <v>920</v>
      </c>
      <c r="D51" s="19" t="str">
        <f>MID(B51,2,6)</f>
        <v>213200</v>
      </c>
      <c r="E51" s="19" t="s">
        <v>72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>
        <f>VLOOKUP(B:B,'[3]תקבולים 2017'!B:R,15,0)</f>
        <v>0</v>
      </c>
      <c r="Q51" s="20">
        <f>-VLOOKUP(B:B,'[3]דוח כספי 10.17 מעודכן'!A:D,4,0)</f>
        <v>331.83</v>
      </c>
      <c r="R51" s="20">
        <f>VLOOKUP(B:B,'[3]תקבולים 2017'!B:T,17,0)</f>
        <v>0</v>
      </c>
      <c r="S51" s="20">
        <f>Q51/10*12</f>
        <v>398.19600000000003</v>
      </c>
      <c r="T51" s="164">
        <f>VLOOKUP(B51,'תקבולים 2017'!$A$2:$Q$248,17,0)</f>
        <v>0</v>
      </c>
      <c r="U51" s="21">
        <v>0</v>
      </c>
    </row>
    <row r="52" spans="2:21" ht="15">
      <c r="B52" s="18">
        <v>1216900290</v>
      </c>
      <c r="C52" s="19" t="s">
        <v>46</v>
      </c>
      <c r="D52" s="19" t="s">
        <v>73</v>
      </c>
      <c r="E52" s="19" t="s">
        <v>53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>
        <f>VLOOKUP(B:B,'[3]תקבולים 2017'!B:R,15,0)</f>
        <v>500000</v>
      </c>
      <c r="Q52" s="20">
        <f>-VLOOKUP(B:B,'[3]דוח כספי 10.17 מעודכן'!A:D,4,0)</f>
        <v>200000</v>
      </c>
      <c r="R52" s="20">
        <f>VLOOKUP(B:B,'[3]תקבולים 2017'!B:T,17,0)</f>
        <v>200000</v>
      </c>
      <c r="S52" s="20">
        <v>480000</v>
      </c>
      <c r="T52" s="164">
        <f>VLOOKUP(B52,'תקבולים 2017'!$A$2:$Q$248,17,0)</f>
        <v>200000</v>
      </c>
      <c r="U52" s="21"/>
    </row>
    <row r="53" spans="2:21" ht="15">
      <c r="B53" s="24">
        <v>1221000900</v>
      </c>
      <c r="C53" s="25" t="str">
        <f t="shared" ref="C53:C59" si="18">MID(B53,8,3)</f>
        <v>900</v>
      </c>
      <c r="D53" s="25" t="str">
        <f t="shared" ref="D53:D59" si="19">MID(B53,2,6)</f>
        <v>221000</v>
      </c>
      <c r="E53" s="25" t="s">
        <v>74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>
        <f>VLOOKUP(B:B,'[3]תקבולים 2017'!B:R,15,0)</f>
        <v>0</v>
      </c>
      <c r="Q53" s="26">
        <f>-VLOOKUP(B:B,'[3]דוח כספי 10.17 מעודכן'!A:D,4,0)</f>
        <v>0</v>
      </c>
      <c r="R53" s="26">
        <v>330000</v>
      </c>
      <c r="S53" s="26">
        <f t="shared" ref="S53:S59" si="20">Q53/10*12</f>
        <v>0</v>
      </c>
      <c r="T53" s="164">
        <f>VLOOKUP(B53,'תקבולים 2017'!$A$2:$Q$248,17,0)</f>
        <v>0</v>
      </c>
      <c r="U53" s="27">
        <v>330000</v>
      </c>
    </row>
    <row r="54" spans="2:21" ht="15">
      <c r="B54" s="18">
        <v>1221001900</v>
      </c>
      <c r="C54" s="19" t="str">
        <f t="shared" si="18"/>
        <v>900</v>
      </c>
      <c r="D54" s="19" t="str">
        <f t="shared" si="19"/>
        <v>221001</v>
      </c>
      <c r="E54" s="19" t="s">
        <v>76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>
        <f>VLOOKUP(B:B,'[3]תקבולים 2017'!B:R,15,0)</f>
        <v>237000</v>
      </c>
      <c r="Q54" s="20">
        <f>-VLOOKUP(B:B,'[3]דוח כספי 10.17 מעודכן'!A:D,4,0)</f>
        <v>324397</v>
      </c>
      <c r="R54" s="20">
        <f>VLOOKUP(B:B,'[3]תקבולים 2017'!B:T,17,0)</f>
        <v>380000</v>
      </c>
      <c r="S54" s="20">
        <f t="shared" si="20"/>
        <v>389276.4</v>
      </c>
      <c r="T54" s="164">
        <f>VLOOKUP(B54,'תקבולים 2017'!$A$2:$Q$248,17,0)</f>
        <v>380000</v>
      </c>
      <c r="U54" s="21">
        <v>390000</v>
      </c>
    </row>
    <row r="55" spans="2:21" ht="15">
      <c r="B55" s="18">
        <v>1242210290</v>
      </c>
      <c r="C55" s="19" t="str">
        <f t="shared" si="18"/>
        <v>290</v>
      </c>
      <c r="D55" s="19" t="str">
        <f t="shared" si="19"/>
        <v>242210</v>
      </c>
      <c r="E55" s="19" t="s">
        <v>77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>
        <f>VLOOKUP(B:B,'[3]תקבולים 2017'!B:R,15,0)</f>
        <v>150000</v>
      </c>
      <c r="Q55" s="20">
        <f>-VLOOKUP(B:B,'[3]דוח כספי 10.17 מעודכן'!A:D,4,0)</f>
        <v>221291.67</v>
      </c>
      <c r="R55" s="20">
        <f>VLOOKUP(B:B,'[3]תקבולים 2017'!B:T,17,0)</f>
        <v>220000</v>
      </c>
      <c r="S55" s="20">
        <f t="shared" si="20"/>
        <v>265550.00400000002</v>
      </c>
      <c r="T55" s="164">
        <f>VLOOKUP(B55,'תקבולים 2017'!$A$2:$Q$248,17,0)</f>
        <v>220000</v>
      </c>
      <c r="U55" s="21">
        <v>230000</v>
      </c>
    </row>
    <row r="56" spans="2:21" ht="15">
      <c r="B56" s="18">
        <v>1244000790</v>
      </c>
      <c r="C56" s="19" t="str">
        <f t="shared" si="18"/>
        <v>790</v>
      </c>
      <c r="D56" s="19" t="str">
        <f t="shared" si="19"/>
        <v>244000</v>
      </c>
      <c r="E56" s="19" t="s">
        <v>78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>
        <f>VLOOKUP(B:B,'[3]תקבולים 2017'!B:R,15,0)</f>
        <v>35000</v>
      </c>
      <c r="Q56" s="20">
        <f>-VLOOKUP(B:B,'[3]דוח כספי 10.17 מעודכן'!A:D,4,0)</f>
        <v>14800</v>
      </c>
      <c r="R56" s="20">
        <f>VLOOKUP(B:B,'[3]תקבולים 2017'!B:T,17,0)</f>
        <v>20000</v>
      </c>
      <c r="S56" s="20">
        <f t="shared" si="20"/>
        <v>17760</v>
      </c>
      <c r="T56" s="164">
        <f>VLOOKUP(B56,'תקבולים 2017'!$A$2:$Q$248,17,0)</f>
        <v>20000</v>
      </c>
      <c r="U56" s="21">
        <v>18000</v>
      </c>
    </row>
    <row r="57" spans="2:21" ht="15">
      <c r="B57" s="18">
        <v>1244100210</v>
      </c>
      <c r="C57" s="19" t="str">
        <f t="shared" si="18"/>
        <v>210</v>
      </c>
      <c r="D57" s="19" t="str">
        <f t="shared" si="19"/>
        <v>244100</v>
      </c>
      <c r="E57" s="19" t="s">
        <v>79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>
        <f>VLOOKUP(B:B,'[3]תקבולים 2017'!B:R,15,0)</f>
        <v>20000</v>
      </c>
      <c r="Q57" s="20">
        <f>-VLOOKUP(B:B,'[3]דוח כספי 10.17 מעודכן'!A:D,4,0)</f>
        <v>13490</v>
      </c>
      <c r="R57" s="20">
        <f>VLOOKUP(B:B,'[3]תקבולים 2017'!B:T,17,0)</f>
        <v>15000</v>
      </c>
      <c r="S57" s="20">
        <f t="shared" si="20"/>
        <v>16188</v>
      </c>
      <c r="T57" s="164">
        <f>VLOOKUP(B57,'תקבולים 2017'!$A$2:$Q$248,17,0)</f>
        <v>15000</v>
      </c>
      <c r="U57" s="21">
        <v>15000</v>
      </c>
    </row>
    <row r="58" spans="2:21" ht="15">
      <c r="B58" s="18">
        <v>1249000540</v>
      </c>
      <c r="C58" s="19" t="str">
        <f t="shared" si="18"/>
        <v>540</v>
      </c>
      <c r="D58" s="19" t="str">
        <f t="shared" si="19"/>
        <v>249000</v>
      </c>
      <c r="E58" s="19" t="s">
        <v>80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>
        <f>VLOOKUP(B:B,'[3]תקבולים 2017'!B:R,15,0)</f>
        <v>0</v>
      </c>
      <c r="Q58" s="20">
        <f>-VLOOKUP(B:B,'[3]דוח כספי 10.17 מעודכן'!A:D,4,0)</f>
        <v>0</v>
      </c>
      <c r="R58" s="20">
        <f>VLOOKUP(B:B,'[3]תקבולים 2017'!B:T,17,0)</f>
        <v>0</v>
      </c>
      <c r="S58" s="20">
        <f t="shared" si="20"/>
        <v>0</v>
      </c>
      <c r="T58" s="164">
        <f>VLOOKUP(B58,'תקבולים 2017'!$A$2:$Q$248,17,0)</f>
        <v>0</v>
      </c>
      <c r="U58" s="21">
        <v>0</v>
      </c>
    </row>
    <row r="59" spans="2:21" ht="15">
      <c r="B59" s="18">
        <v>1296000960</v>
      </c>
      <c r="C59" s="19" t="str">
        <f t="shared" si="18"/>
        <v>960</v>
      </c>
      <c r="D59" s="19" t="str">
        <f t="shared" si="19"/>
        <v>296000</v>
      </c>
      <c r="E59" s="19" t="s">
        <v>81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>
        <f>VLOOKUP(B:B,'[3]תקבולים 2017'!B:R,15,0)</f>
        <v>0</v>
      </c>
      <c r="Q59" s="20">
        <f>-VLOOKUP(B:B,'[3]דוח כספי 10.17 מעודכן'!A:D,4,0)</f>
        <v>0</v>
      </c>
      <c r="R59" s="20">
        <f>VLOOKUP(B:B,'[3]תקבולים 2017'!B:T,17,0)</f>
        <v>0</v>
      </c>
      <c r="S59" s="20">
        <f t="shared" si="20"/>
        <v>0</v>
      </c>
      <c r="T59" s="164">
        <f>VLOOKUP(B59,'תקבולים 2017'!$A$2:$Q$248,17,0)</f>
        <v>0</v>
      </c>
      <c r="U59" s="21">
        <v>0</v>
      </c>
    </row>
    <row r="60" spans="2:21" ht="15">
      <c r="B60" s="32"/>
      <c r="C60" s="33"/>
      <c r="D60" s="33"/>
      <c r="E60" s="33" t="s">
        <v>82</v>
      </c>
      <c r="F60" s="34" t="e">
        <f>SUM(#REF!)</f>
        <v>#REF!</v>
      </c>
      <c r="G60" s="34" t="e">
        <f>SUM(#REF!)</f>
        <v>#REF!</v>
      </c>
      <c r="H60" s="34" t="e">
        <f>SUM(#REF!)</f>
        <v>#REF!</v>
      </c>
      <c r="I60" s="34" t="e">
        <f>SUM(#REF!)</f>
        <v>#REF!</v>
      </c>
      <c r="J60" s="34" t="e">
        <f>SUM(#REF!)</f>
        <v>#REF!</v>
      </c>
      <c r="K60" s="34" t="e">
        <f>SUM(#REF!)</f>
        <v>#REF!</v>
      </c>
      <c r="L60" s="34" t="e">
        <f>SUM(#REF!)</f>
        <v>#REF!</v>
      </c>
      <c r="M60" s="34" t="e">
        <f>SUM(#REF!)</f>
        <v>#REF!</v>
      </c>
      <c r="N60" s="34" t="e">
        <f>SUM(#REF!)</f>
        <v>#REF!</v>
      </c>
      <c r="O60" s="34" t="e">
        <f>SUM(#REF!)</f>
        <v>#REF!</v>
      </c>
      <c r="P60" s="34">
        <f t="shared" ref="P60:U60" si="21">SUM(P48:P59)</f>
        <v>942000</v>
      </c>
      <c r="Q60" s="34">
        <f t="shared" si="21"/>
        <v>775842.33000000007</v>
      </c>
      <c r="R60" s="34">
        <f t="shared" si="21"/>
        <v>1167000</v>
      </c>
      <c r="S60" s="34">
        <f t="shared" si="21"/>
        <v>1170624.6000000001</v>
      </c>
      <c r="T60" s="35">
        <f t="shared" si="21"/>
        <v>837000</v>
      </c>
      <c r="U60" s="35">
        <f t="shared" si="21"/>
        <v>984500</v>
      </c>
    </row>
    <row r="61" spans="2:21" ht="15">
      <c r="B61" s="36"/>
      <c r="C61" s="37" t="s">
        <v>83</v>
      </c>
      <c r="D61" s="37"/>
      <c r="E61" s="37"/>
      <c r="F61" s="37"/>
      <c r="G61" s="37"/>
      <c r="H61" s="37"/>
      <c r="I61" s="38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164"/>
      <c r="U61" s="21"/>
    </row>
    <row r="62" spans="2:21" ht="15">
      <c r="B62" s="24">
        <v>1311000920</v>
      </c>
      <c r="C62" s="25" t="str">
        <f>MID(B62,8,3)</f>
        <v>920</v>
      </c>
      <c r="D62" s="25" t="str">
        <f>MID(B62,2,6)</f>
        <v>311000</v>
      </c>
      <c r="E62" s="25" t="s">
        <v>84</v>
      </c>
      <c r="F62" s="26"/>
      <c r="G62" s="26"/>
      <c r="H62" s="26"/>
      <c r="I62" s="26"/>
      <c r="J62" s="26"/>
      <c r="K62" s="26"/>
      <c r="L62" s="26"/>
      <c r="M62" s="26"/>
      <c r="N62" s="26"/>
      <c r="O62" s="44"/>
      <c r="P62" s="26">
        <v>0</v>
      </c>
      <c r="Q62" s="26">
        <v>0</v>
      </c>
      <c r="R62" s="26">
        <v>0</v>
      </c>
      <c r="S62" s="26">
        <v>0</v>
      </c>
      <c r="T62" s="164">
        <v>0</v>
      </c>
      <c r="U62" s="27">
        <v>400000</v>
      </c>
    </row>
    <row r="63" spans="2:21" ht="15">
      <c r="B63" s="24">
        <v>1311100920</v>
      </c>
      <c r="C63" s="25" t="str">
        <f>MID(B63,8,3)</f>
        <v>920</v>
      </c>
      <c r="D63" s="25" t="str">
        <f>MID(B63,2,6)</f>
        <v>311100</v>
      </c>
      <c r="E63" s="25" t="s">
        <v>85</v>
      </c>
      <c r="F63" s="26"/>
      <c r="G63" s="26"/>
      <c r="H63" s="26"/>
      <c r="I63" s="26"/>
      <c r="J63" s="26"/>
      <c r="K63" s="26"/>
      <c r="L63" s="26"/>
      <c r="M63" s="26"/>
      <c r="N63" s="26"/>
      <c r="O63" s="44"/>
      <c r="P63" s="26">
        <v>0</v>
      </c>
      <c r="Q63" s="26">
        <v>0</v>
      </c>
      <c r="R63" s="26">
        <v>0</v>
      </c>
      <c r="S63" s="26">
        <v>0</v>
      </c>
      <c r="T63" s="164">
        <v>0</v>
      </c>
      <c r="U63" s="27">
        <f>636000-400000</f>
        <v>236000</v>
      </c>
    </row>
    <row r="64" spans="2:21" ht="15">
      <c r="B64" s="24">
        <v>1311200920</v>
      </c>
      <c r="C64" s="25" t="str">
        <f>MID(B64,8,3)</f>
        <v>920</v>
      </c>
      <c r="D64" s="25" t="str">
        <f>MID(B64,2,6)</f>
        <v>311200</v>
      </c>
      <c r="E64" s="25" t="s">
        <v>86</v>
      </c>
      <c r="F64" s="26"/>
      <c r="G64" s="26"/>
      <c r="H64" s="26"/>
      <c r="I64" s="26"/>
      <c r="J64" s="26"/>
      <c r="K64" s="26"/>
      <c r="L64" s="26"/>
      <c r="M64" s="26"/>
      <c r="N64" s="26"/>
      <c r="O64" s="44"/>
      <c r="P64" s="26">
        <v>0</v>
      </c>
      <c r="Q64" s="26">
        <v>0</v>
      </c>
      <c r="R64" s="26">
        <v>0</v>
      </c>
      <c r="S64" s="26">
        <v>0</v>
      </c>
      <c r="T64" s="164">
        <v>0</v>
      </c>
      <c r="U64" s="27">
        <v>56000</v>
      </c>
    </row>
    <row r="65" spans="2:21" ht="15">
      <c r="B65" s="24">
        <v>1311200920</v>
      </c>
      <c r="C65" s="25" t="str">
        <f>MID(B65,8,3)</f>
        <v>920</v>
      </c>
      <c r="D65" s="25" t="str">
        <f>MID(B65,2,6)</f>
        <v>311200</v>
      </c>
      <c r="E65" s="25" t="s">
        <v>87</v>
      </c>
      <c r="F65" s="26"/>
      <c r="G65" s="26"/>
      <c r="H65" s="26"/>
      <c r="I65" s="26"/>
      <c r="J65" s="26"/>
      <c r="K65" s="26"/>
      <c r="L65" s="26"/>
      <c r="M65" s="26"/>
      <c r="N65" s="26"/>
      <c r="O65" s="44"/>
      <c r="P65" s="26">
        <v>0</v>
      </c>
      <c r="Q65" s="26">
        <v>0</v>
      </c>
      <c r="R65" s="26">
        <v>0</v>
      </c>
      <c r="S65" s="26">
        <v>191016.864</v>
      </c>
      <c r="T65" s="164">
        <v>0</v>
      </c>
      <c r="U65" s="27">
        <v>191000</v>
      </c>
    </row>
    <row r="66" spans="2:21" ht="15">
      <c r="B66" s="24">
        <v>1311210920</v>
      </c>
      <c r="C66" s="25" t="str">
        <f>MID(B66,8,3)</f>
        <v>920</v>
      </c>
      <c r="D66" s="25" t="str">
        <f>MID(B66,2,6)</f>
        <v>311210</v>
      </c>
      <c r="E66" s="25" t="s">
        <v>88</v>
      </c>
      <c r="F66" s="26"/>
      <c r="G66" s="26"/>
      <c r="H66" s="26"/>
      <c r="I66" s="26"/>
      <c r="J66" s="26"/>
      <c r="K66" s="26"/>
      <c r="L66" s="26"/>
      <c r="M66" s="26"/>
      <c r="N66" s="26"/>
      <c r="O66" s="44"/>
      <c r="P66" s="26">
        <v>0</v>
      </c>
      <c r="Q66" s="26">
        <v>0</v>
      </c>
      <c r="R66" s="26">
        <v>0</v>
      </c>
      <c r="S66" s="26">
        <v>0</v>
      </c>
      <c r="T66" s="164">
        <v>0</v>
      </c>
      <c r="U66" s="27">
        <v>0</v>
      </c>
    </row>
    <row r="67" spans="2:21" ht="15">
      <c r="B67" s="28"/>
      <c r="C67" s="29"/>
      <c r="D67" s="29"/>
      <c r="E67" s="29" t="s">
        <v>89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>
        <f t="shared" ref="P67:S67" si="22">SUM(P62:P66)</f>
        <v>0</v>
      </c>
      <c r="Q67" s="30">
        <f t="shared" si="22"/>
        <v>0</v>
      </c>
      <c r="R67" s="30">
        <f t="shared" si="22"/>
        <v>0</v>
      </c>
      <c r="S67" s="30">
        <f t="shared" si="22"/>
        <v>191016.864</v>
      </c>
      <c r="T67" s="31">
        <f>SUM(T62:T66)</f>
        <v>0</v>
      </c>
      <c r="U67" s="31">
        <f>SUM(U62:U66)</f>
        <v>883000</v>
      </c>
    </row>
    <row r="68" spans="2:21" ht="15">
      <c r="B68" s="24">
        <v>1312200920</v>
      </c>
      <c r="C68" s="25" t="str">
        <f t="shared" ref="C68:C76" si="23">MID(B68,8,3)</f>
        <v>920</v>
      </c>
      <c r="D68" s="25" t="str">
        <f t="shared" ref="D68:D76" si="24">MID(B68,2,6)</f>
        <v>312200</v>
      </c>
      <c r="E68" s="25" t="s">
        <v>90</v>
      </c>
      <c r="F68" s="26">
        <v>270000</v>
      </c>
      <c r="G68" s="26">
        <v>263968.73</v>
      </c>
      <c r="H68" s="26">
        <f>G68*12/10</f>
        <v>316762.47599999997</v>
      </c>
      <c r="I68" s="26">
        <f>H68</f>
        <v>316762.47599999997</v>
      </c>
      <c r="J68" s="26" t="e">
        <f>VLOOKUP(B68,#REF!,6,0)</f>
        <v>#REF!</v>
      </c>
      <c r="K68" s="26" t="e">
        <f>+J68*1.71428571428571</f>
        <v>#REF!</v>
      </c>
      <c r="L68" s="26">
        <v>300000</v>
      </c>
      <c r="M68" s="26">
        <v>250000</v>
      </c>
      <c r="N68" s="26">
        <v>300000</v>
      </c>
      <c r="O68" s="26">
        <f>VLOOKUP(B68,[3]כספי!$A$1:$E$324,5,0)</f>
        <v>145988.82</v>
      </c>
      <c r="P68" s="26">
        <f>VLOOKUP(B:B,'[3]תקבולים 2017'!B:R,15,0)</f>
        <v>8153000</v>
      </c>
      <c r="Q68" s="26">
        <f>-VLOOKUP(B:B,'[3]דוח כספי 10.17 מעודכן'!A:D,4,0)</f>
        <v>7031560.8899999997</v>
      </c>
      <c r="R68" s="26">
        <f>VLOOKUP(B:B,'[3]תקבולים 2017'!B:T,17,0)</f>
        <v>8438000</v>
      </c>
      <c r="S68" s="26">
        <f>Q68/10*12</f>
        <v>8437873.068</v>
      </c>
      <c r="T68" s="164">
        <f>VLOOKUP(B68,'תקבולים 2017'!$A$2:$Q$248,17,0)</f>
        <v>8438000</v>
      </c>
      <c r="U68" s="27">
        <v>0</v>
      </c>
    </row>
    <row r="69" spans="2:21" ht="15">
      <c r="B69" s="24">
        <v>1312210920</v>
      </c>
      <c r="C69" s="25" t="str">
        <f t="shared" si="23"/>
        <v>920</v>
      </c>
      <c r="D69" s="25" t="str">
        <f t="shared" si="24"/>
        <v>312210</v>
      </c>
      <c r="E69" s="25" t="s">
        <v>91</v>
      </c>
      <c r="F69" s="26">
        <v>1090000</v>
      </c>
      <c r="G69" s="26">
        <f>675630.89+100000</f>
        <v>775630.89</v>
      </c>
      <c r="H69" s="26">
        <f>G69*12/10+370000</f>
        <v>1300757.068</v>
      </c>
      <c r="I69" s="26">
        <v>930757.06799999997</v>
      </c>
      <c r="J69" s="26" t="e">
        <f>VLOOKUP(B69,#REF!,6,0)</f>
        <v>#REF!</v>
      </c>
      <c r="K69" s="26" t="e">
        <f>+J69*1.71428571428571</f>
        <v>#REF!</v>
      </c>
      <c r="L69" s="26">
        <v>1100000</v>
      </c>
      <c r="M69" s="26">
        <v>900000</v>
      </c>
      <c r="N69" s="26">
        <v>1250000</v>
      </c>
      <c r="O69" s="26">
        <v>817191.01</v>
      </c>
      <c r="P69" s="26">
        <f>VLOOKUP(B:B,'[3]תקבולים 2017'!B:R,15,0)</f>
        <v>0</v>
      </c>
      <c r="Q69" s="26">
        <f>-VLOOKUP(B:B,'[3]דוח כספי 10.17 מעודכן'!A:D,4,0)</f>
        <v>0</v>
      </c>
      <c r="R69" s="26">
        <f>VLOOKUP(B:B,'[3]תקבולים 2017'!B:T,17,0)</f>
        <v>0</v>
      </c>
      <c r="S69" s="26">
        <f>Q69/10*12</f>
        <v>0</v>
      </c>
      <c r="T69" s="164">
        <f>VLOOKUP(B69,'תקבולים 2017'!$A$2:$Q$248,17,0)</f>
        <v>0</v>
      </c>
      <c r="U69" s="27">
        <v>0</v>
      </c>
    </row>
    <row r="70" spans="2:21" ht="15">
      <c r="B70" s="24">
        <v>1312220920</v>
      </c>
      <c r="C70" s="25" t="str">
        <f t="shared" si="23"/>
        <v>920</v>
      </c>
      <c r="D70" s="25" t="str">
        <f t="shared" si="24"/>
        <v>312220</v>
      </c>
      <c r="E70" s="25" t="s">
        <v>92</v>
      </c>
      <c r="F70" s="26">
        <v>120000</v>
      </c>
      <c r="G70" s="26">
        <v>122149.44</v>
      </c>
      <c r="H70" s="26">
        <f>136164+14000</f>
        <v>150164</v>
      </c>
      <c r="I70" s="26">
        <f>H70</f>
        <v>150164</v>
      </c>
      <c r="J70" s="26" t="e">
        <f>VLOOKUP(B70,#REF!,6,0)</f>
        <v>#REF!</v>
      </c>
      <c r="K70" s="26" t="e">
        <f>+J70*1.71428571428571</f>
        <v>#REF!</v>
      </c>
      <c r="L70" s="26">
        <v>200000</v>
      </c>
      <c r="M70" s="26">
        <v>190000</v>
      </c>
      <c r="N70" s="26">
        <v>210000</v>
      </c>
      <c r="O70" s="26" t="e">
        <f>VLOOKUP(B70,[3]כספי!$A$1:$E$324,5,0)</f>
        <v>#N/A</v>
      </c>
      <c r="P70" s="26">
        <f>VLOOKUP(B:B,'[3]תקבולים 2017'!B:R,15,0)</f>
        <v>527000</v>
      </c>
      <c r="Q70" s="26">
        <f>-VLOOKUP(B:B,'[3]דוח כספי 10.17 מעודכן'!A:D,4,0)</f>
        <v>530396.04</v>
      </c>
      <c r="R70" s="26">
        <f>VLOOKUP(B:B,'[3]תקבולים 2017'!B:T,17,0)</f>
        <v>637000</v>
      </c>
      <c r="S70" s="26">
        <f>Q70/10*12</f>
        <v>636475.24800000014</v>
      </c>
      <c r="T70" s="164">
        <f>VLOOKUP(B70,'תקבולים 2017'!$A$2:$Q$248,17,0)</f>
        <v>637000</v>
      </c>
      <c r="U70" s="27">
        <v>0</v>
      </c>
    </row>
    <row r="71" spans="2:21" ht="15">
      <c r="B71" s="24">
        <v>1312222920</v>
      </c>
      <c r="C71" s="25" t="str">
        <f t="shared" si="23"/>
        <v>920</v>
      </c>
      <c r="D71" s="25" t="str">
        <f t="shared" si="24"/>
        <v>312222</v>
      </c>
      <c r="E71" s="25" t="s">
        <v>93</v>
      </c>
      <c r="F71" s="26"/>
      <c r="G71" s="26"/>
      <c r="H71" s="26"/>
      <c r="I71" s="26"/>
      <c r="J71" s="26"/>
      <c r="K71" s="26"/>
      <c r="L71" s="26"/>
      <c r="M71" s="26"/>
      <c r="N71" s="26"/>
      <c r="O71" s="44"/>
      <c r="P71" s="26">
        <v>0</v>
      </c>
      <c r="Q71" s="26">
        <v>0</v>
      </c>
      <c r="R71" s="26">
        <v>0</v>
      </c>
      <c r="S71" s="26">
        <v>0</v>
      </c>
      <c r="T71" s="164">
        <v>0</v>
      </c>
      <c r="U71" s="27">
        <v>1446000</v>
      </c>
    </row>
    <row r="72" spans="2:21" ht="15">
      <c r="B72" s="24">
        <v>1312230920</v>
      </c>
      <c r="C72" s="25" t="str">
        <f t="shared" si="23"/>
        <v>920</v>
      </c>
      <c r="D72" s="25" t="str">
        <f t="shared" si="24"/>
        <v>312230</v>
      </c>
      <c r="E72" s="25" t="s">
        <v>94</v>
      </c>
      <c r="F72" s="26"/>
      <c r="G72" s="26"/>
      <c r="H72" s="26"/>
      <c r="I72" s="26"/>
      <c r="J72" s="26"/>
      <c r="K72" s="26"/>
      <c r="L72" s="26"/>
      <c r="M72" s="26"/>
      <c r="N72" s="26"/>
      <c r="O72" s="44"/>
      <c r="P72" s="26">
        <v>0</v>
      </c>
      <c r="Q72" s="26">
        <v>0</v>
      </c>
      <c r="R72" s="26">
        <v>0</v>
      </c>
      <c r="S72" s="26">
        <v>0</v>
      </c>
      <c r="T72" s="164">
        <v>0</v>
      </c>
      <c r="U72" s="27">
        <v>981000</v>
      </c>
    </row>
    <row r="73" spans="2:21" ht="15">
      <c r="B73" s="24">
        <v>1312230920</v>
      </c>
      <c r="C73" s="25" t="str">
        <f t="shared" si="23"/>
        <v>920</v>
      </c>
      <c r="D73" s="25" t="str">
        <f t="shared" si="24"/>
        <v>312230</v>
      </c>
      <c r="E73" s="25" t="s">
        <v>95</v>
      </c>
      <c r="F73" s="26"/>
      <c r="G73" s="26"/>
      <c r="H73" s="26"/>
      <c r="I73" s="26"/>
      <c r="J73" s="26"/>
      <c r="K73" s="26"/>
      <c r="L73" s="26"/>
      <c r="M73" s="26"/>
      <c r="N73" s="26"/>
      <c r="O73" s="44"/>
      <c r="P73" s="26">
        <v>0</v>
      </c>
      <c r="Q73" s="26">
        <v>0</v>
      </c>
      <c r="R73" s="26">
        <v>0</v>
      </c>
      <c r="S73" s="26">
        <v>0</v>
      </c>
      <c r="T73" s="164">
        <v>0</v>
      </c>
      <c r="U73" s="27">
        <v>1500000</v>
      </c>
    </row>
    <row r="74" spans="2:21" ht="15">
      <c r="B74" s="24">
        <v>1312240920</v>
      </c>
      <c r="C74" s="25" t="str">
        <f t="shared" si="23"/>
        <v>920</v>
      </c>
      <c r="D74" s="25" t="str">
        <f t="shared" si="24"/>
        <v>312240</v>
      </c>
      <c r="E74" s="25" t="s">
        <v>96</v>
      </c>
      <c r="F74" s="26"/>
      <c r="G74" s="26"/>
      <c r="H74" s="26"/>
      <c r="I74" s="26"/>
      <c r="J74" s="26"/>
      <c r="K74" s="26"/>
      <c r="L74" s="26"/>
      <c r="M74" s="26"/>
      <c r="N74" s="26"/>
      <c r="O74" s="44"/>
      <c r="P74" s="26">
        <v>0</v>
      </c>
      <c r="Q74" s="26">
        <v>0</v>
      </c>
      <c r="R74" s="26">
        <v>0</v>
      </c>
      <c r="S74" s="26">
        <v>0</v>
      </c>
      <c r="T74" s="164">
        <v>0</v>
      </c>
      <c r="U74" s="27">
        <v>3747000</v>
      </c>
    </row>
    <row r="75" spans="2:21" ht="15">
      <c r="B75" s="24">
        <v>1312250920</v>
      </c>
      <c r="C75" s="25" t="str">
        <f t="shared" si="23"/>
        <v>920</v>
      </c>
      <c r="D75" s="25" t="str">
        <f t="shared" si="24"/>
        <v>312250</v>
      </c>
      <c r="E75" s="25" t="s">
        <v>97</v>
      </c>
      <c r="F75" s="26"/>
      <c r="G75" s="26"/>
      <c r="H75" s="26"/>
      <c r="I75" s="26"/>
      <c r="J75" s="26"/>
      <c r="K75" s="26"/>
      <c r="L75" s="26"/>
      <c r="M75" s="26"/>
      <c r="N75" s="26"/>
      <c r="O75" s="44"/>
      <c r="P75" s="26">
        <v>0</v>
      </c>
      <c r="Q75" s="26">
        <v>0</v>
      </c>
      <c r="R75" s="26">
        <v>0</v>
      </c>
      <c r="S75" s="26">
        <v>0</v>
      </c>
      <c r="T75" s="164">
        <v>0</v>
      </c>
      <c r="U75" s="27">
        <v>0</v>
      </c>
    </row>
    <row r="76" spans="2:21" ht="15">
      <c r="B76" s="24">
        <v>1312300290</v>
      </c>
      <c r="C76" s="25" t="str">
        <f t="shared" si="23"/>
        <v>290</v>
      </c>
      <c r="D76" s="25" t="str">
        <f t="shared" si="24"/>
        <v>312300</v>
      </c>
      <c r="E76" s="25" t="s">
        <v>99</v>
      </c>
      <c r="F76" s="26">
        <v>120000</v>
      </c>
      <c r="G76" s="26">
        <v>10719.2</v>
      </c>
      <c r="H76" s="26">
        <f>38682+10000</f>
        <v>48682</v>
      </c>
      <c r="I76" s="26">
        <f>H76</f>
        <v>48682</v>
      </c>
      <c r="J76" s="26" t="e">
        <f>VLOOKUP(B76,#REF!,6,0)</f>
        <v>#REF!</v>
      </c>
      <c r="K76" s="26" t="e">
        <f>+J76*1.71428571428571</f>
        <v>#REF!</v>
      </c>
      <c r="L76" s="26">
        <v>100000</v>
      </c>
      <c r="M76" s="26">
        <v>108000</v>
      </c>
      <c r="N76" s="26">
        <v>108000</v>
      </c>
      <c r="O76" s="26" t="e">
        <f>VLOOKUP(B76,[3]כספי!$A$1:$E$324,5,0)</f>
        <v>#N/A</v>
      </c>
      <c r="P76" s="26">
        <f>VLOOKUP(B:B,'[3]תקבולים 2017'!B:R,15,0)</f>
        <v>90000</v>
      </c>
      <c r="Q76" s="26">
        <f>-VLOOKUP(B:B,'[3]דוח כספי 10.17 מעודכן'!A:D,4,0)</f>
        <v>60800</v>
      </c>
      <c r="R76" s="26">
        <f>VLOOKUP(B:B,'[3]תקבולים 2017'!B:T,17,0)</f>
        <v>73000</v>
      </c>
      <c r="S76" s="26">
        <f>Q76/10*12</f>
        <v>72960</v>
      </c>
      <c r="T76" s="164">
        <f>VLOOKUP(B76,'תקבולים 2017'!$A$2:$Q$248,17,0)</f>
        <v>73000</v>
      </c>
      <c r="U76" s="27">
        <v>75000</v>
      </c>
    </row>
    <row r="77" spans="2:21" ht="15">
      <c r="B77" s="28"/>
      <c r="C77" s="29"/>
      <c r="D77" s="29"/>
      <c r="E77" s="29" t="s">
        <v>100</v>
      </c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>
        <f t="shared" ref="P77:R77" si="25">SUM(P68:P76)</f>
        <v>8770000</v>
      </c>
      <c r="Q77" s="30">
        <f t="shared" si="25"/>
        <v>7622756.9299999997</v>
      </c>
      <c r="R77" s="30">
        <f t="shared" si="25"/>
        <v>9148000</v>
      </c>
      <c r="S77" s="30">
        <f t="shared" ref="S77" si="26">SUM(S68:S76)</f>
        <v>9147308.3159999996</v>
      </c>
      <c r="T77" s="31">
        <f>SUM(T68:T76)</f>
        <v>9148000</v>
      </c>
      <c r="U77" s="31">
        <f>SUM(U68:U76)</f>
        <v>7749000</v>
      </c>
    </row>
    <row r="78" spans="2:21" ht="15">
      <c r="B78" s="24">
        <v>1313200740</v>
      </c>
      <c r="C78" s="25" t="str">
        <f t="shared" ref="C78:C90" si="27">MID(B78,8,3)</f>
        <v>740</v>
      </c>
      <c r="D78" s="25" t="str">
        <f t="shared" ref="D78:D90" si="28">MID(B78,2,6)</f>
        <v>313200</v>
      </c>
      <c r="E78" s="25" t="s">
        <v>101</v>
      </c>
      <c r="F78" s="26">
        <v>10000</v>
      </c>
      <c r="G78" s="26">
        <v>25000</v>
      </c>
      <c r="H78" s="26">
        <f>G78*12/10</f>
        <v>30000</v>
      </c>
      <c r="I78" s="26">
        <f>H78</f>
        <v>30000</v>
      </c>
      <c r="J78" s="26" t="e">
        <f>VLOOKUP(B78,#REF!,6,0)</f>
        <v>#REF!</v>
      </c>
      <c r="K78" s="26" t="e">
        <f>+J78*1.71428571428571</f>
        <v>#REF!</v>
      </c>
      <c r="L78" s="26">
        <v>30000</v>
      </c>
      <c r="M78" s="26">
        <v>41000</v>
      </c>
      <c r="N78" s="26">
        <v>41000</v>
      </c>
      <c r="O78" s="26" t="e">
        <f>VLOOKUP(B78,[3]כספי!$A$1:$E$324,5,0)</f>
        <v>#N/A</v>
      </c>
      <c r="P78" s="26">
        <f>VLOOKUP(B:B,'[3]תקבולים 2017'!B:R,15,0)</f>
        <v>0</v>
      </c>
      <c r="Q78" s="26">
        <f>-VLOOKUP(B:B,'[3]דוח כספי 10.17 מעודכן'!A:D,4,0)</f>
        <v>0</v>
      </c>
      <c r="R78" s="26">
        <f>VLOOKUP(B:B,'[3]תקבולים 2017'!B:T,17,0)</f>
        <v>0</v>
      </c>
      <c r="S78" s="26">
        <f t="shared" ref="S78:S83" si="29">Q78/10*12</f>
        <v>0</v>
      </c>
      <c r="T78" s="164">
        <f>VLOOKUP(B78,'תקבולים 2017'!$A$2:$Q$248,17,0)</f>
        <v>0</v>
      </c>
      <c r="U78" s="27">
        <v>0</v>
      </c>
    </row>
    <row r="79" spans="2:21" ht="15">
      <c r="B79" s="24">
        <v>1313200920</v>
      </c>
      <c r="C79" s="25" t="str">
        <f t="shared" si="27"/>
        <v>920</v>
      </c>
      <c r="D79" s="25" t="str">
        <f t="shared" si="28"/>
        <v>313200</v>
      </c>
      <c r="E79" s="25" t="s">
        <v>94</v>
      </c>
      <c r="F79" s="26"/>
      <c r="G79" s="26">
        <v>69500.960000000006</v>
      </c>
      <c r="H79" s="26">
        <f>G79*12/10</f>
        <v>83401.152000000002</v>
      </c>
      <c r="I79" s="26">
        <f>H79</f>
        <v>83401.152000000002</v>
      </c>
      <c r="J79" s="26" t="e">
        <f>VLOOKUP(B79,#REF!,6,0)</f>
        <v>#REF!</v>
      </c>
      <c r="K79" s="26" t="e">
        <f>+J79*1.71428571428571</f>
        <v>#REF!</v>
      </c>
      <c r="L79" s="26">
        <v>83401</v>
      </c>
      <c r="M79" s="26">
        <v>0</v>
      </c>
      <c r="N79" s="26">
        <v>0</v>
      </c>
      <c r="O79" s="26">
        <v>0</v>
      </c>
      <c r="P79" s="26">
        <f>VLOOKUP(B:B,'[3]תקבולים 2017'!B:R,15,0)</f>
        <v>1019000</v>
      </c>
      <c r="Q79" s="26">
        <f>-VLOOKUP(B:B,'[3]דוח כספי 10.17 מעודכן'!A:D,4,0)</f>
        <v>761197.42</v>
      </c>
      <c r="R79" s="26">
        <v>980000.24800000002</v>
      </c>
      <c r="S79" s="26">
        <f t="shared" si="29"/>
        <v>913436.90399999998</v>
      </c>
      <c r="T79" s="164">
        <f>VLOOKUP(B79,'תקבולים 2017'!$A$2:$Q$248,17,0)</f>
        <v>980000</v>
      </c>
      <c r="U79" s="27">
        <v>0</v>
      </c>
    </row>
    <row r="80" spans="2:21" ht="15">
      <c r="B80" s="24">
        <v>1313210920</v>
      </c>
      <c r="C80" s="25" t="str">
        <f t="shared" si="27"/>
        <v>920</v>
      </c>
      <c r="D80" s="25" t="str">
        <f t="shared" si="28"/>
        <v>313210</v>
      </c>
      <c r="E80" s="25" t="s">
        <v>97</v>
      </c>
      <c r="F80" s="26">
        <v>425000</v>
      </c>
      <c r="G80" s="26">
        <v>273419.33</v>
      </c>
      <c r="H80" s="26">
        <f>G80*12/10</f>
        <v>328103.196</v>
      </c>
      <c r="I80" s="26">
        <v>70000</v>
      </c>
      <c r="J80" s="26" t="e">
        <f>VLOOKUP(B80,#REF!,6,0)</f>
        <v>#REF!</v>
      </c>
      <c r="K80" s="26" t="e">
        <f>+J80*1.71428571428571</f>
        <v>#REF!</v>
      </c>
      <c r="L80" s="26">
        <v>70000</v>
      </c>
      <c r="M80" s="26">
        <v>60000</v>
      </c>
      <c r="N80" s="26">
        <v>80000</v>
      </c>
      <c r="O80" s="26">
        <f>VLOOKUP(B80,[3]כספי!$A$1:$E$324,5,0)</f>
        <v>287834.90000000002</v>
      </c>
      <c r="P80" s="26">
        <f>VLOOKUP(B:B,'[3]תקבולים 2017'!B:R,15,0)</f>
        <v>0</v>
      </c>
      <c r="Q80" s="26">
        <f>-VLOOKUP(B:B,'[3]דוח כספי 10.17 מעודכן'!A:D,4,0)</f>
        <v>-164342.71</v>
      </c>
      <c r="R80" s="26">
        <f>VLOOKUP(B:B,'[3]תקבולים 2017'!B:T,17,0)</f>
        <v>0</v>
      </c>
      <c r="S80" s="26">
        <f t="shared" si="29"/>
        <v>-197211.25200000001</v>
      </c>
      <c r="T80" s="164">
        <f>VLOOKUP(B80,'תקבולים 2017'!$A$2:$Q$248,17,0)</f>
        <v>0</v>
      </c>
      <c r="U80" s="27">
        <v>0</v>
      </c>
    </row>
    <row r="81" spans="2:21" ht="15">
      <c r="B81" s="24">
        <v>1313220920</v>
      </c>
      <c r="C81" s="25" t="str">
        <f t="shared" si="27"/>
        <v>920</v>
      </c>
      <c r="D81" s="25" t="str">
        <f t="shared" si="28"/>
        <v>313220</v>
      </c>
      <c r="E81" s="25" t="s">
        <v>102</v>
      </c>
      <c r="F81" s="26"/>
      <c r="G81" s="26"/>
      <c r="H81" s="26"/>
      <c r="I81" s="26">
        <v>450000</v>
      </c>
      <c r="J81" s="26" t="e">
        <f>VLOOKUP(B81,#REF!,6,0)</f>
        <v>#REF!</v>
      </c>
      <c r="K81" s="26" t="e">
        <f>+J81*1.71428571428571</f>
        <v>#REF!</v>
      </c>
      <c r="L81" s="26">
        <v>450000</v>
      </c>
      <c r="M81" s="26">
        <v>452000</v>
      </c>
      <c r="N81" s="26">
        <v>490000</v>
      </c>
      <c r="O81" s="26">
        <f>VLOOKUP(B81,[3]כספי!$A$1:$E$324,5,0)</f>
        <v>55297.2</v>
      </c>
      <c r="P81" s="26">
        <f>VLOOKUP(B:B,'[3]תקבולים 2017'!B:R,15,0)</f>
        <v>25000</v>
      </c>
      <c r="Q81" s="26">
        <f>-VLOOKUP(B:B,'[3]דוח כספי 10.17 מעודכן'!A:D,4,0)</f>
        <v>0</v>
      </c>
      <c r="R81" s="26">
        <f>VLOOKUP(B:B,'[3]תקבולים 2017'!B:T,17,0)</f>
        <v>0</v>
      </c>
      <c r="S81" s="26">
        <f t="shared" si="29"/>
        <v>0</v>
      </c>
      <c r="T81" s="164">
        <f>VLOOKUP(B81,'תקבולים 2017'!$A$2:$Q$248,17,0)</f>
        <v>0</v>
      </c>
      <c r="U81" s="27">
        <v>0</v>
      </c>
    </row>
    <row r="82" spans="2:21" ht="15">
      <c r="B82" s="24">
        <v>1313230920</v>
      </c>
      <c r="C82" s="25" t="str">
        <f t="shared" si="27"/>
        <v>920</v>
      </c>
      <c r="D82" s="25" t="str">
        <f t="shared" si="28"/>
        <v>313230</v>
      </c>
      <c r="E82" s="25" t="s">
        <v>103</v>
      </c>
      <c r="F82" s="26"/>
      <c r="G82" s="26"/>
      <c r="H82" s="26"/>
      <c r="I82" s="26">
        <v>200000</v>
      </c>
      <c r="J82" s="26" t="e">
        <f>VLOOKUP(B82,#REF!,6,0)</f>
        <v>#REF!</v>
      </c>
      <c r="K82" s="26">
        <v>200000</v>
      </c>
      <c r="L82" s="26">
        <v>200000</v>
      </c>
      <c r="M82" s="26">
        <v>76000</v>
      </c>
      <c r="N82" s="26">
        <v>100000</v>
      </c>
      <c r="O82" s="26" t="e">
        <f>VLOOKUP(B82,[3]כספי!$A$1:$E$324,5,0)</f>
        <v>#N/A</v>
      </c>
      <c r="P82" s="26">
        <f>VLOOKUP(B:B,'[3]תקבולים 2017'!B:R,15,0)</f>
        <v>11000</v>
      </c>
      <c r="Q82" s="26">
        <f>-VLOOKUP(B:B,'[3]דוח כספי 10.17 מעודכן'!A:D,4,0)</f>
        <v>0</v>
      </c>
      <c r="R82" s="26">
        <f>VLOOKUP(B:B,'[3]תקבולים 2017'!B:T,17,0)</f>
        <v>0</v>
      </c>
      <c r="S82" s="26">
        <f t="shared" si="29"/>
        <v>0</v>
      </c>
      <c r="T82" s="164">
        <f>VLOOKUP(B82,'תקבולים 2017'!$A$2:$Q$248,17,0)</f>
        <v>0</v>
      </c>
      <c r="U82" s="27">
        <v>0</v>
      </c>
    </row>
    <row r="83" spans="2:21" ht="15">
      <c r="B83" s="24">
        <v>1313240920</v>
      </c>
      <c r="C83" s="25" t="str">
        <f t="shared" si="27"/>
        <v>920</v>
      </c>
      <c r="D83" s="25" t="str">
        <f t="shared" si="28"/>
        <v>313240</v>
      </c>
      <c r="E83" s="25" t="s">
        <v>95</v>
      </c>
      <c r="F83" s="26"/>
      <c r="G83" s="26"/>
      <c r="H83" s="26"/>
      <c r="I83" s="26">
        <f>6750*12</f>
        <v>81000</v>
      </c>
      <c r="J83" s="26">
        <v>47325</v>
      </c>
      <c r="K83" s="26">
        <f>+J83*1.71428571428571</f>
        <v>81128.571428571231</v>
      </c>
      <c r="L83" s="26">
        <v>81000</v>
      </c>
      <c r="M83" s="26">
        <v>80000</v>
      </c>
      <c r="N83" s="26">
        <v>80000</v>
      </c>
      <c r="O83" s="26">
        <f>VLOOKUP(B83,[3]כספי!$A$1:$E$324,5,0)</f>
        <v>-3420.73</v>
      </c>
      <c r="P83" s="26">
        <f>VLOOKUP(B:B,'[3]תקבולים 2017'!B:R,15,0)</f>
        <v>0</v>
      </c>
      <c r="Q83" s="26">
        <f>-VLOOKUP(B:B,'[3]דוח כספי 10.17 מעודכן'!A:D,4,0)</f>
        <v>909805</v>
      </c>
      <c r="R83" s="26">
        <v>910000</v>
      </c>
      <c r="S83" s="26">
        <f t="shared" si="29"/>
        <v>1091766</v>
      </c>
      <c r="T83" s="164">
        <f>VLOOKUP(B83,'תקבולים 2017'!$A$2:$Q$248,17,0)</f>
        <v>1320000</v>
      </c>
      <c r="U83" s="27">
        <v>0</v>
      </c>
    </row>
    <row r="84" spans="2:21" ht="15">
      <c r="B84" s="24">
        <v>1313250092</v>
      </c>
      <c r="C84" s="25" t="str">
        <f t="shared" si="27"/>
        <v>092</v>
      </c>
      <c r="D84" s="25" t="str">
        <f t="shared" si="28"/>
        <v>313250</v>
      </c>
      <c r="E84" s="25" t="s">
        <v>104</v>
      </c>
      <c r="F84" s="26"/>
      <c r="G84" s="26"/>
      <c r="H84" s="26"/>
      <c r="I84" s="26"/>
      <c r="J84" s="26"/>
      <c r="K84" s="26"/>
      <c r="L84" s="26"/>
      <c r="M84" s="26"/>
      <c r="N84" s="26"/>
      <c r="O84" s="44"/>
      <c r="P84" s="26">
        <v>0</v>
      </c>
      <c r="Q84" s="26">
        <v>0</v>
      </c>
      <c r="R84" s="26">
        <v>0</v>
      </c>
      <c r="S84" s="26"/>
      <c r="T84" s="164">
        <v>0</v>
      </c>
      <c r="U84" s="27">
        <v>89000</v>
      </c>
    </row>
    <row r="85" spans="2:21" ht="15">
      <c r="B85" s="24">
        <v>1313260920</v>
      </c>
      <c r="C85" s="25" t="str">
        <f t="shared" si="27"/>
        <v>920</v>
      </c>
      <c r="D85" s="25" t="str">
        <f t="shared" si="28"/>
        <v>313260</v>
      </c>
      <c r="E85" s="25" t="s">
        <v>105</v>
      </c>
      <c r="F85" s="26"/>
      <c r="G85" s="26"/>
      <c r="H85" s="26"/>
      <c r="I85" s="26"/>
      <c r="J85" s="26"/>
      <c r="K85" s="26"/>
      <c r="L85" s="26"/>
      <c r="M85" s="26"/>
      <c r="N85" s="26"/>
      <c r="O85" s="44"/>
      <c r="P85" s="26">
        <v>0</v>
      </c>
      <c r="Q85" s="26">
        <v>0</v>
      </c>
      <c r="R85" s="26">
        <v>0</v>
      </c>
      <c r="S85" s="26"/>
      <c r="T85" s="164">
        <v>0</v>
      </c>
      <c r="U85" s="27">
        <v>17000</v>
      </c>
    </row>
    <row r="86" spans="2:21" ht="15">
      <c r="B86" s="24">
        <v>1313270920</v>
      </c>
      <c r="C86" s="25" t="str">
        <f t="shared" si="27"/>
        <v>920</v>
      </c>
      <c r="D86" s="25" t="str">
        <f t="shared" si="28"/>
        <v>313270</v>
      </c>
      <c r="E86" s="25" t="s">
        <v>106</v>
      </c>
      <c r="F86" s="26"/>
      <c r="G86" s="26"/>
      <c r="H86" s="26"/>
      <c r="I86" s="26"/>
      <c r="J86" s="26"/>
      <c r="K86" s="26"/>
      <c r="L86" s="26"/>
      <c r="M86" s="26"/>
      <c r="N86" s="26"/>
      <c r="O86" s="44"/>
      <c r="P86" s="26">
        <v>0</v>
      </c>
      <c r="Q86" s="26">
        <v>0</v>
      </c>
      <c r="R86" s="26">
        <v>0</v>
      </c>
      <c r="S86" s="26">
        <v>0</v>
      </c>
      <c r="T86" s="164">
        <v>0</v>
      </c>
      <c r="U86" s="54">
        <v>10000</v>
      </c>
    </row>
    <row r="87" spans="2:21" ht="15">
      <c r="B87" s="24">
        <v>1313280920</v>
      </c>
      <c r="C87" s="25" t="str">
        <f t="shared" si="27"/>
        <v>920</v>
      </c>
      <c r="D87" s="25" t="str">
        <f t="shared" si="28"/>
        <v>313280</v>
      </c>
      <c r="E87" s="25" t="s">
        <v>107</v>
      </c>
      <c r="F87" s="26"/>
      <c r="G87" s="26"/>
      <c r="H87" s="26"/>
      <c r="I87" s="26"/>
      <c r="J87" s="26"/>
      <c r="K87" s="26"/>
      <c r="L87" s="26"/>
      <c r="M87" s="26"/>
      <c r="N87" s="26"/>
      <c r="O87" s="44"/>
      <c r="P87" s="26">
        <v>0</v>
      </c>
      <c r="Q87" s="26">
        <v>0</v>
      </c>
      <c r="R87" s="26">
        <v>0</v>
      </c>
      <c r="S87" s="26">
        <v>0</v>
      </c>
      <c r="T87" s="164">
        <v>0</v>
      </c>
      <c r="U87" s="27">
        <v>32000</v>
      </c>
    </row>
    <row r="88" spans="2:21" ht="15">
      <c r="B88" s="24">
        <v>1313290920</v>
      </c>
      <c r="C88" s="25" t="str">
        <f t="shared" si="27"/>
        <v>920</v>
      </c>
      <c r="D88" s="25" t="str">
        <f t="shared" si="28"/>
        <v>313290</v>
      </c>
      <c r="E88" s="25" t="s">
        <v>108</v>
      </c>
      <c r="F88" s="26"/>
      <c r="G88" s="26"/>
      <c r="H88" s="26"/>
      <c r="I88" s="26"/>
      <c r="J88" s="26"/>
      <c r="K88" s="26"/>
      <c r="L88" s="26"/>
      <c r="M88" s="26"/>
      <c r="N88" s="26"/>
      <c r="O88" s="44"/>
      <c r="P88" s="26">
        <v>0</v>
      </c>
      <c r="Q88" s="26">
        <v>0</v>
      </c>
      <c r="R88" s="26">
        <v>0</v>
      </c>
      <c r="S88" s="26"/>
      <c r="T88" s="164">
        <v>0</v>
      </c>
      <c r="U88" s="27">
        <v>242000</v>
      </c>
    </row>
    <row r="89" spans="2:21" ht="15">
      <c r="B89" s="24">
        <v>1313292920</v>
      </c>
      <c r="C89" s="25" t="str">
        <f t="shared" si="27"/>
        <v>920</v>
      </c>
      <c r="D89" s="25" t="str">
        <f t="shared" si="28"/>
        <v>313292</v>
      </c>
      <c r="E89" s="25" t="s">
        <v>109</v>
      </c>
      <c r="F89" s="26"/>
      <c r="G89" s="26"/>
      <c r="H89" s="26"/>
      <c r="I89" s="26"/>
      <c r="J89" s="26"/>
      <c r="K89" s="26"/>
      <c r="L89" s="26"/>
      <c r="M89" s="26"/>
      <c r="N89" s="26"/>
      <c r="O89" s="44"/>
      <c r="P89" s="26">
        <v>0</v>
      </c>
      <c r="Q89" s="26">
        <v>0</v>
      </c>
      <c r="R89" s="26">
        <v>0</v>
      </c>
      <c r="S89" s="26">
        <v>0</v>
      </c>
      <c r="T89" s="164">
        <v>0</v>
      </c>
      <c r="U89" s="27">
        <v>5000</v>
      </c>
    </row>
    <row r="90" spans="2:21" ht="15">
      <c r="B90" s="24">
        <v>1313300920</v>
      </c>
      <c r="C90" s="25" t="str">
        <f t="shared" si="27"/>
        <v>920</v>
      </c>
      <c r="D90" s="25" t="str">
        <f t="shared" si="28"/>
        <v>313300</v>
      </c>
      <c r="E90" s="25" t="s">
        <v>110</v>
      </c>
      <c r="F90" s="26">
        <v>620000</v>
      </c>
      <c r="G90" s="26">
        <f>35521.74+200000</f>
        <v>235521.74</v>
      </c>
      <c r="H90" s="26">
        <f>+G90</f>
        <v>235521.74</v>
      </c>
      <c r="I90" s="26">
        <v>156000</v>
      </c>
      <c r="J90" s="26" t="e">
        <f>VLOOKUP(B90,#REF!,6,0)</f>
        <v>#REF!</v>
      </c>
      <c r="K90" s="26" t="e">
        <f>+J90*1.71428571428571</f>
        <v>#REF!</v>
      </c>
      <c r="L90" s="26">
        <v>100000</v>
      </c>
      <c r="M90" s="26">
        <v>167000</v>
      </c>
      <c r="N90" s="26">
        <v>167000</v>
      </c>
      <c r="O90" s="26">
        <f>VLOOKUP(B90,[3]כספי!$A$1:$E$324,5,0)</f>
        <v>310244.73</v>
      </c>
      <c r="P90" s="26">
        <f>VLOOKUP(B:B,'[3]תקבולים 2017'!B:R,15,0)</f>
        <v>1604000</v>
      </c>
      <c r="Q90" s="26">
        <f>-VLOOKUP(B:B,'[3]דוח כספי 10.17 מעודכן'!A:D,4,0)</f>
        <v>1200705.96</v>
      </c>
      <c r="R90" s="26">
        <f>VLOOKUP(B:B,'[3]תקבולים 2017'!B:T,17,0)</f>
        <v>1441000</v>
      </c>
      <c r="S90" s="26">
        <f>Q90/10*12</f>
        <v>1440847.1519999998</v>
      </c>
      <c r="T90" s="164">
        <f>VLOOKUP(B90,'תקבולים 2017'!$A$2:$Q$248,17,0)</f>
        <v>1441000</v>
      </c>
      <c r="U90" s="27">
        <v>0</v>
      </c>
    </row>
    <row r="91" spans="2:21" ht="15">
      <c r="B91" s="24">
        <v>1313301920</v>
      </c>
      <c r="C91" s="25" t="s">
        <v>70</v>
      </c>
      <c r="D91" s="25" t="s">
        <v>111</v>
      </c>
      <c r="E91" s="25" t="s">
        <v>112</v>
      </c>
      <c r="F91" s="26"/>
      <c r="G91" s="26"/>
      <c r="H91" s="26"/>
      <c r="I91" s="26"/>
      <c r="J91" s="26"/>
      <c r="K91" s="26"/>
      <c r="L91" s="26"/>
      <c r="M91" s="26"/>
      <c r="N91" s="26"/>
      <c r="O91" s="44"/>
      <c r="P91" s="26">
        <v>0</v>
      </c>
      <c r="Q91" s="26">
        <v>0</v>
      </c>
      <c r="R91" s="26">
        <v>0</v>
      </c>
      <c r="S91" s="26">
        <v>0</v>
      </c>
      <c r="T91" s="164">
        <v>0</v>
      </c>
      <c r="U91" s="27">
        <v>1301000</v>
      </c>
    </row>
    <row r="92" spans="2:21" ht="15">
      <c r="B92" s="24">
        <v>1313302920</v>
      </c>
      <c r="C92" s="25" t="s">
        <v>70</v>
      </c>
      <c r="D92" s="25" t="s">
        <v>111</v>
      </c>
      <c r="E92" s="25" t="s">
        <v>113</v>
      </c>
      <c r="F92" s="26"/>
      <c r="G92" s="26"/>
      <c r="H92" s="26"/>
      <c r="I92" s="26"/>
      <c r="J92" s="26"/>
      <c r="K92" s="26"/>
      <c r="L92" s="26"/>
      <c r="M92" s="26"/>
      <c r="N92" s="26"/>
      <c r="O92" s="44"/>
      <c r="P92" s="26">
        <v>0</v>
      </c>
      <c r="Q92" s="26">
        <v>0</v>
      </c>
      <c r="R92" s="26">
        <v>0</v>
      </c>
      <c r="S92" s="26">
        <v>0</v>
      </c>
      <c r="T92" s="164">
        <v>0</v>
      </c>
      <c r="U92" s="27">
        <v>6000</v>
      </c>
    </row>
    <row r="93" spans="2:21" ht="15">
      <c r="B93" s="24">
        <v>1313303920</v>
      </c>
      <c r="C93" s="25" t="s">
        <v>70</v>
      </c>
      <c r="D93" s="25" t="s">
        <v>111</v>
      </c>
      <c r="E93" s="25" t="s">
        <v>114</v>
      </c>
      <c r="F93" s="26"/>
      <c r="G93" s="26"/>
      <c r="H93" s="26"/>
      <c r="I93" s="26"/>
      <c r="J93" s="26"/>
      <c r="K93" s="26"/>
      <c r="L93" s="26"/>
      <c r="M93" s="26"/>
      <c r="N93" s="26"/>
      <c r="O93" s="44"/>
      <c r="P93" s="26">
        <v>0</v>
      </c>
      <c r="Q93" s="26">
        <v>0</v>
      </c>
      <c r="R93" s="26">
        <v>0</v>
      </c>
      <c r="S93" s="26">
        <v>0</v>
      </c>
      <c r="T93" s="164">
        <v>0</v>
      </c>
      <c r="U93" s="27">
        <v>330000</v>
      </c>
    </row>
    <row r="94" spans="2:21" ht="15">
      <c r="B94" s="24">
        <v>1313304920</v>
      </c>
      <c r="C94" s="60" t="s">
        <v>70</v>
      </c>
      <c r="D94" s="60" t="s">
        <v>111</v>
      </c>
      <c r="E94" s="25" t="s">
        <v>115</v>
      </c>
      <c r="F94" s="26"/>
      <c r="G94" s="26"/>
      <c r="H94" s="26"/>
      <c r="I94" s="26"/>
      <c r="J94" s="26"/>
      <c r="K94" s="26"/>
      <c r="L94" s="26"/>
      <c r="M94" s="26"/>
      <c r="N94" s="26"/>
      <c r="O94" s="44"/>
      <c r="P94" s="26">
        <v>0</v>
      </c>
      <c r="Q94" s="26">
        <v>0</v>
      </c>
      <c r="R94" s="26">
        <v>0</v>
      </c>
      <c r="S94" s="26">
        <v>0</v>
      </c>
      <c r="T94" s="164">
        <v>0</v>
      </c>
      <c r="U94" s="27">
        <v>437000</v>
      </c>
    </row>
    <row r="95" spans="2:21" ht="15">
      <c r="B95" s="24">
        <v>1313330920</v>
      </c>
      <c r="C95" s="25" t="str">
        <f t="shared" ref="C95:C114" si="30">MID(B95,8,3)</f>
        <v>920</v>
      </c>
      <c r="D95" s="25" t="str">
        <f t="shared" ref="D95:D114" si="31">MID(B95,2,6)</f>
        <v>313330</v>
      </c>
      <c r="E95" s="25" t="s">
        <v>112</v>
      </c>
      <c r="F95" s="26">
        <v>135000</v>
      </c>
      <c r="G95" s="26">
        <v>87115.63</v>
      </c>
      <c r="H95" s="26">
        <f>G95*12/10</f>
        <v>104538.75600000001</v>
      </c>
      <c r="I95" s="26">
        <f>H95</f>
        <v>104538.75600000001</v>
      </c>
      <c r="J95" s="26" t="e">
        <f>VLOOKUP(B95,#REF!,6,0)</f>
        <v>#REF!</v>
      </c>
      <c r="K95" s="26" t="e">
        <f>+J95*1.71428571428571</f>
        <v>#REF!</v>
      </c>
      <c r="L95" s="26">
        <v>35000</v>
      </c>
      <c r="M95" s="26">
        <v>32300</v>
      </c>
      <c r="N95" s="26">
        <v>32300</v>
      </c>
      <c r="O95" s="26" t="e">
        <f>VLOOKUP(B95,[3]כספי!$A$1:$E$324,5,0)</f>
        <v>#N/A</v>
      </c>
      <c r="P95" s="26">
        <f>VLOOKUP(B:B,'[3]תקבולים 2017'!B:R,15,0)</f>
        <v>0</v>
      </c>
      <c r="Q95" s="26">
        <f>-VLOOKUP(B:B,'[3]דוח כספי 10.17 מעודכן'!A:D,4,0)</f>
        <v>1083874.8700000001</v>
      </c>
      <c r="R95" s="26">
        <f>VLOOKUP(B:B,'[3]תקבולים 2017'!B:T,17,0)</f>
        <v>1301000</v>
      </c>
      <c r="S95" s="26">
        <f t="shared" ref="S95:S100" si="32">Q95/10*12</f>
        <v>1300649.844</v>
      </c>
      <c r="T95" s="164">
        <f>VLOOKUP(B95,'תקבולים 2017'!$A$2:$Q$248,17,0)</f>
        <v>1301000</v>
      </c>
      <c r="U95" s="27">
        <v>0</v>
      </c>
    </row>
    <row r="96" spans="2:21" ht="15">
      <c r="B96" s="24">
        <v>1313340920</v>
      </c>
      <c r="C96" s="25" t="str">
        <f t="shared" si="30"/>
        <v>920</v>
      </c>
      <c r="D96" s="25" t="str">
        <f t="shared" si="31"/>
        <v>313340</v>
      </c>
      <c r="E96" s="25" t="s">
        <v>114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>
        <f>VLOOKUP(B:B,'[3]תקבולים 2017'!B:R,15,0)</f>
        <v>1000</v>
      </c>
      <c r="Q96" s="26">
        <f>-VLOOKUP(B:B,'[3]דוח כספי 10.17 מעודכן'!A:D,4,0)</f>
        <v>273910.03999999998</v>
      </c>
      <c r="R96" s="26">
        <f>VLOOKUP(B:B,'[3]תקבולים 2017'!B:T,17,0)</f>
        <v>329000</v>
      </c>
      <c r="S96" s="26">
        <f t="shared" si="32"/>
        <v>328692.04799999995</v>
      </c>
      <c r="T96" s="164">
        <f>VLOOKUP(B96,'תקבולים 2017'!$A$2:$Q$248,17,0)</f>
        <v>329000</v>
      </c>
      <c r="U96" s="27">
        <v>0</v>
      </c>
    </row>
    <row r="97" spans="2:21" ht="15">
      <c r="B97" s="24">
        <v>1313350920</v>
      </c>
      <c r="C97" s="25" t="str">
        <f t="shared" si="30"/>
        <v>920</v>
      </c>
      <c r="D97" s="25" t="str">
        <f t="shared" si="31"/>
        <v>313350</v>
      </c>
      <c r="E97" s="25" t="s">
        <v>115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>
        <f>VLOOKUP(B:B,'[3]תקבולים 2017'!B:R,15,0)</f>
        <v>0</v>
      </c>
      <c r="Q97" s="26">
        <f>-VLOOKUP(B:B,'[3]דוח כספי 10.17 מעודכן'!A:D,4,0)</f>
        <v>363771.1</v>
      </c>
      <c r="R97" s="26">
        <f>VLOOKUP(B:B,'[3]תקבולים 2017'!B:T,17,0)</f>
        <v>437000</v>
      </c>
      <c r="S97" s="26">
        <f t="shared" si="32"/>
        <v>436525.32</v>
      </c>
      <c r="T97" s="164">
        <f>VLOOKUP(B97,'תקבולים 2017'!$A$2:$Q$248,17,0)</f>
        <v>437000</v>
      </c>
      <c r="U97" s="27">
        <v>0</v>
      </c>
    </row>
    <row r="98" spans="2:21" ht="15">
      <c r="B98" s="24">
        <v>1313360920</v>
      </c>
      <c r="C98" s="25" t="str">
        <f t="shared" si="30"/>
        <v>920</v>
      </c>
      <c r="D98" s="25" t="str">
        <f t="shared" si="31"/>
        <v>313360</v>
      </c>
      <c r="E98" s="25" t="s">
        <v>106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>
        <f>VLOOKUP(B:B,'[3]תקבולים 2017'!B:R,15,0)</f>
        <v>1000</v>
      </c>
      <c r="Q98" s="26">
        <f>-VLOOKUP(B:B,'[3]דוח כספי 10.17 מעודכן'!A:D,4,0)</f>
        <v>7444.02</v>
      </c>
      <c r="R98" s="26">
        <f>VLOOKUP(B:B,'[3]תקבולים 2017'!B:T,17,0)</f>
        <v>9000</v>
      </c>
      <c r="S98" s="26">
        <f t="shared" si="32"/>
        <v>8932.8240000000005</v>
      </c>
      <c r="T98" s="164">
        <f>VLOOKUP(B98,'תקבולים 2017'!$A$2:$Q$248,17,0)</f>
        <v>9000</v>
      </c>
      <c r="U98" s="27">
        <v>0</v>
      </c>
    </row>
    <row r="99" spans="2:21" ht="15">
      <c r="B99" s="24">
        <v>1313400920</v>
      </c>
      <c r="C99" s="25" t="str">
        <f t="shared" si="30"/>
        <v>920</v>
      </c>
      <c r="D99" s="25" t="str">
        <f t="shared" si="31"/>
        <v>313400</v>
      </c>
      <c r="E99" s="25" t="s">
        <v>116</v>
      </c>
      <c r="F99" s="26">
        <v>810000</v>
      </c>
      <c r="G99" s="26">
        <f>50000+639942.39</f>
        <v>689942.39</v>
      </c>
      <c r="H99" s="26">
        <f>G99*12/10</f>
        <v>827930.86800000002</v>
      </c>
      <c r="I99" s="26">
        <f>H99</f>
        <v>827930.86800000002</v>
      </c>
      <c r="J99" s="26" t="e">
        <f>VLOOKUP(B99,#REF!,6,0)</f>
        <v>#REF!</v>
      </c>
      <c r="K99" s="26" t="e">
        <f>+J99*1.71428571428571</f>
        <v>#REF!</v>
      </c>
      <c r="L99" s="26">
        <v>815000</v>
      </c>
      <c r="M99" s="26">
        <v>807000</v>
      </c>
      <c r="N99" s="26">
        <v>840000</v>
      </c>
      <c r="O99" s="26">
        <v>540000</v>
      </c>
      <c r="P99" s="26">
        <f>VLOOKUP(B:B,'[3]תקבולים 2017'!B:R,15,0)</f>
        <v>0</v>
      </c>
      <c r="Q99" s="26">
        <f>-VLOOKUP(B:B,'[3]דוח כספי 10.17 מעודכן'!A:D,4,0)</f>
        <v>0</v>
      </c>
      <c r="R99" s="26">
        <f>VLOOKUP(B:B,'[3]תקבולים 2017'!B:T,17,0)</f>
        <v>0</v>
      </c>
      <c r="S99" s="26">
        <f t="shared" si="32"/>
        <v>0</v>
      </c>
      <c r="T99" s="164">
        <f>VLOOKUP(B99,'תקבולים 2017'!$A$2:$Q$248,17,0)</f>
        <v>0</v>
      </c>
      <c r="U99" s="27">
        <v>0</v>
      </c>
    </row>
    <row r="100" spans="2:21" ht="15">
      <c r="B100" s="18">
        <v>1313410290</v>
      </c>
      <c r="C100" s="19" t="str">
        <f t="shared" si="30"/>
        <v>290</v>
      </c>
      <c r="D100" s="19" t="str">
        <f t="shared" si="31"/>
        <v>313410</v>
      </c>
      <c r="E100" s="19" t="s">
        <v>117</v>
      </c>
      <c r="F100" s="20"/>
      <c r="G100" s="20"/>
      <c r="H100" s="20"/>
      <c r="I100" s="20"/>
      <c r="J100" s="20"/>
      <c r="K100" s="20"/>
      <c r="L100" s="20"/>
      <c r="M100" s="20"/>
      <c r="N100" s="20"/>
      <c r="O100" s="20" t="e">
        <f>VLOOKUP(B100,[3]כספי!$A$1:$E$324,5,0)</f>
        <v>#N/A</v>
      </c>
      <c r="P100" s="20">
        <f>VLOOKUP(B:B,'[3]תקבולים 2017'!B:R,15,0)</f>
        <v>0</v>
      </c>
      <c r="Q100" s="20">
        <f>-VLOOKUP(B:B,'[3]דוח כספי 10.17 מעודכן'!A:D,4,0)</f>
        <v>3900</v>
      </c>
      <c r="R100" s="20">
        <f>VLOOKUP(B:B,'[3]תקבולים 2017'!B:T,17,0)</f>
        <v>5000</v>
      </c>
      <c r="S100" s="20">
        <f t="shared" si="32"/>
        <v>4680</v>
      </c>
      <c r="T100" s="164">
        <f>VLOOKUP(B100,'תקבולים 2017'!$A$2:$Q$248,17,0)</f>
        <v>5000</v>
      </c>
      <c r="U100" s="21">
        <v>5000</v>
      </c>
    </row>
    <row r="101" spans="2:21" ht="15">
      <c r="B101" s="24">
        <v>1313410920</v>
      </c>
      <c r="C101" s="25" t="str">
        <f t="shared" si="30"/>
        <v>920</v>
      </c>
      <c r="D101" s="25" t="str">
        <f t="shared" si="31"/>
        <v>313410</v>
      </c>
      <c r="E101" s="25" t="s">
        <v>118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44"/>
      <c r="P101" s="26">
        <v>0</v>
      </c>
      <c r="Q101" s="26">
        <v>0</v>
      </c>
      <c r="R101" s="26">
        <v>0</v>
      </c>
      <c r="S101" s="26">
        <v>0</v>
      </c>
      <c r="T101" s="164">
        <v>0</v>
      </c>
      <c r="U101" s="27">
        <v>214000</v>
      </c>
    </row>
    <row r="102" spans="2:21" ht="15">
      <c r="B102" s="24">
        <v>1313411920</v>
      </c>
      <c r="C102" s="25" t="str">
        <f t="shared" si="30"/>
        <v>920</v>
      </c>
      <c r="D102" s="25" t="str">
        <f t="shared" si="31"/>
        <v>313411</v>
      </c>
      <c r="E102" s="25" t="s">
        <v>119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44"/>
      <c r="P102" s="26">
        <v>0</v>
      </c>
      <c r="Q102" s="26">
        <v>0</v>
      </c>
      <c r="R102" s="26">
        <v>0</v>
      </c>
      <c r="S102" s="26">
        <v>0</v>
      </c>
      <c r="T102" s="164">
        <v>0</v>
      </c>
      <c r="U102" s="27">
        <v>8000</v>
      </c>
    </row>
    <row r="103" spans="2:21" ht="15">
      <c r="B103" s="24">
        <v>1313411920</v>
      </c>
      <c r="C103" s="25" t="str">
        <f t="shared" si="30"/>
        <v>920</v>
      </c>
      <c r="D103" s="25" t="str">
        <f t="shared" si="31"/>
        <v>313411</v>
      </c>
      <c r="E103" s="25" t="s">
        <v>120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44"/>
      <c r="P103" s="26">
        <v>0</v>
      </c>
      <c r="Q103" s="26">
        <v>0</v>
      </c>
      <c r="R103" s="26">
        <v>0</v>
      </c>
      <c r="S103" s="26">
        <v>0</v>
      </c>
      <c r="T103" s="164">
        <v>0</v>
      </c>
      <c r="U103" s="27">
        <v>15000</v>
      </c>
    </row>
    <row r="104" spans="2:21" ht="15">
      <c r="B104" s="24">
        <v>1313450920</v>
      </c>
      <c r="C104" s="25" t="str">
        <f t="shared" si="30"/>
        <v>920</v>
      </c>
      <c r="D104" s="25" t="str">
        <f t="shared" si="31"/>
        <v>313450</v>
      </c>
      <c r="E104" s="25" t="s">
        <v>121</v>
      </c>
      <c r="F104" s="26">
        <v>101000</v>
      </c>
      <c r="G104" s="26">
        <v>77093.149999999994</v>
      </c>
      <c r="H104" s="26">
        <f>77387+500</f>
        <v>77887</v>
      </c>
      <c r="I104" s="26">
        <f>H104</f>
        <v>77887</v>
      </c>
      <c r="J104" s="26" t="e">
        <f>VLOOKUP(B104,#REF!,6,0)</f>
        <v>#REF!</v>
      </c>
      <c r="K104" s="26" t="e">
        <f>+J104</f>
        <v>#REF!</v>
      </c>
      <c r="L104" s="26">
        <v>72753</v>
      </c>
      <c r="M104" s="26">
        <v>72700</v>
      </c>
      <c r="N104" s="26">
        <v>72700</v>
      </c>
      <c r="O104" s="26" t="e">
        <f>VLOOKUP(B104,[3]כספי!$A$1:$E$324,5,0)</f>
        <v>#N/A</v>
      </c>
      <c r="P104" s="26">
        <f>VLOOKUP(B:B,'[3]תקבולים 2017'!B:R,15,0)</f>
        <v>0</v>
      </c>
      <c r="Q104" s="26">
        <f>-VLOOKUP(B:B,'[3]דוח כספי 10.17 מעודכן'!A:D,4,0)</f>
        <v>146545.42000000001</v>
      </c>
      <c r="R104" s="26"/>
      <c r="S104" s="26">
        <f>Q104/10*12</f>
        <v>175854.50400000002</v>
      </c>
      <c r="T104" s="164">
        <f>VLOOKUP(B104,'תקבולים 2017'!$A$2:$Q$248,17,0)</f>
        <v>176000</v>
      </c>
      <c r="U104" s="27"/>
    </row>
    <row r="105" spans="2:21" ht="15">
      <c r="B105" s="18">
        <v>1313451920</v>
      </c>
      <c r="C105" s="19" t="str">
        <f t="shared" si="30"/>
        <v>920</v>
      </c>
      <c r="D105" s="19" t="str">
        <f t="shared" si="31"/>
        <v>313451</v>
      </c>
      <c r="E105" s="19" t="s">
        <v>122</v>
      </c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>
        <f>VLOOKUP(B:B,'[3]תקבולים 2017'!B:R,15,0)</f>
        <v>0</v>
      </c>
      <c r="Q105" s="20">
        <f>-VLOOKUP(B:B,'[3]דוח כספי 10.17 מעודכן'!A:D,4,0)</f>
        <v>0</v>
      </c>
      <c r="R105" s="20">
        <f>VLOOKUP(B:B,'[3]תקבולים 2017'!B:T,17,0)</f>
        <v>0</v>
      </c>
      <c r="S105" s="20">
        <f>Q105/10*12</f>
        <v>0</v>
      </c>
      <c r="T105" s="164">
        <f>VLOOKUP(B105,'תקבולים 2017'!$A$2:$Q$248,17,0)</f>
        <v>0</v>
      </c>
      <c r="U105" s="21">
        <v>0</v>
      </c>
    </row>
    <row r="106" spans="2:21" ht="15">
      <c r="B106" s="18">
        <v>1313452920</v>
      </c>
      <c r="C106" s="19" t="str">
        <f t="shared" si="30"/>
        <v>920</v>
      </c>
      <c r="D106" s="19" t="str">
        <f t="shared" si="31"/>
        <v>313452</v>
      </c>
      <c r="E106" s="19" t="s">
        <v>123</v>
      </c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>
        <f>VLOOKUP(B:B,'[3]תקבולים 2017'!B:R,15,0)</f>
        <v>0</v>
      </c>
      <c r="Q106" s="20">
        <f>-VLOOKUP(B:B,'[3]דוח כספי 10.17 מעודכן'!A:D,4,0)</f>
        <v>0</v>
      </c>
      <c r="R106" s="20">
        <f>VLOOKUP(B:B,'[3]תקבולים 2017'!B:T,17,0)</f>
        <v>0</v>
      </c>
      <c r="S106" s="20">
        <f>Q106/10*12</f>
        <v>0</v>
      </c>
      <c r="T106" s="164">
        <f>VLOOKUP(B106,'תקבולים 2017'!$A$2:$Q$248,17,0)</f>
        <v>0</v>
      </c>
      <c r="U106" s="21">
        <v>0</v>
      </c>
    </row>
    <row r="107" spans="2:21" ht="15">
      <c r="B107" s="18">
        <v>1313453920</v>
      </c>
      <c r="C107" s="19" t="str">
        <f t="shared" si="30"/>
        <v>920</v>
      </c>
      <c r="D107" s="19" t="str">
        <f t="shared" si="31"/>
        <v>313453</v>
      </c>
      <c r="E107" s="19" t="s">
        <v>124</v>
      </c>
      <c r="F107" s="20">
        <v>40000</v>
      </c>
      <c r="G107" s="20">
        <v>34155.31</v>
      </c>
      <c r="H107" s="20">
        <f>G107*12/10</f>
        <v>40986.371999999996</v>
      </c>
      <c r="I107" s="20">
        <f>H107</f>
        <v>40986.371999999996</v>
      </c>
      <c r="J107" s="20" t="e">
        <f>VLOOKUP(B107,#REF!,6,0)</f>
        <v>#REF!</v>
      </c>
      <c r="K107" s="20" t="e">
        <f>+J107*1.71428571428571</f>
        <v>#REF!</v>
      </c>
      <c r="L107" s="20">
        <v>40000</v>
      </c>
      <c r="M107" s="20">
        <v>26700</v>
      </c>
      <c r="N107" s="20">
        <v>40000</v>
      </c>
      <c r="O107" s="20" t="e">
        <f>VLOOKUP(B107,[3]כספי!$A$1:$E$324,5,0)</f>
        <v>#N/A</v>
      </c>
      <c r="P107" s="20">
        <f>VLOOKUP(B:B,'[3]תקבולים 2017'!B:R,15,0)</f>
        <v>0</v>
      </c>
      <c r="Q107" s="20">
        <f>-VLOOKUP(B:B,'[3]דוח כספי 10.17 מעודכן'!A:D,4,0)</f>
        <v>0</v>
      </c>
      <c r="R107" s="20">
        <f>VLOOKUP(B:B,'[3]תקבולים 2017'!B:T,17,0)</f>
        <v>0</v>
      </c>
      <c r="S107" s="20">
        <f>Q107/10*12</f>
        <v>0</v>
      </c>
      <c r="T107" s="164">
        <f>VLOOKUP(B107,'תקבולים 2017'!$A$2:$Q$248,17,0)</f>
        <v>0</v>
      </c>
      <c r="U107" s="21">
        <v>0</v>
      </c>
    </row>
    <row r="108" spans="2:21" ht="15">
      <c r="B108" s="18">
        <v>1313454920</v>
      </c>
      <c r="C108" s="19" t="str">
        <f t="shared" si="30"/>
        <v>920</v>
      </c>
      <c r="D108" s="19" t="str">
        <f t="shared" si="31"/>
        <v>313454</v>
      </c>
      <c r="E108" s="19" t="s">
        <v>125</v>
      </c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>
        <v>78000</v>
      </c>
      <c r="S108" s="20"/>
      <c r="T108" s="164">
        <v>0</v>
      </c>
      <c r="U108" s="21">
        <v>78000</v>
      </c>
    </row>
    <row r="109" spans="2:21" ht="15">
      <c r="B109" s="18">
        <v>1313600920</v>
      </c>
      <c r="C109" s="19" t="str">
        <f t="shared" si="30"/>
        <v>920</v>
      </c>
      <c r="D109" s="19" t="str">
        <f t="shared" si="31"/>
        <v>313600</v>
      </c>
      <c r="E109" s="19" t="s">
        <v>126</v>
      </c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>
        <f>VLOOKUP(B:B,'[3]תקבולים 2017'!B:R,15,0)</f>
        <v>0</v>
      </c>
      <c r="Q109" s="20">
        <f>-VLOOKUP(B:B,'[3]דוח כספי 10.17 מעודכן'!A:D,4,0)</f>
        <v>0</v>
      </c>
      <c r="R109" s="20">
        <f>VLOOKUP(B:B,'[3]תקבולים 2017'!B:T,17,0)</f>
        <v>0</v>
      </c>
      <c r="S109" s="20">
        <f>Q109/10*12</f>
        <v>0</v>
      </c>
      <c r="T109" s="164">
        <f>VLOOKUP(B109,'תקבולים 2017'!$A$2:$Q$248,17,0)</f>
        <v>0</v>
      </c>
      <c r="U109" s="21">
        <v>0</v>
      </c>
    </row>
    <row r="110" spans="2:21" ht="15">
      <c r="B110" s="24">
        <v>1313606920</v>
      </c>
      <c r="C110" s="25" t="str">
        <f t="shared" si="30"/>
        <v>920</v>
      </c>
      <c r="D110" s="25" t="str">
        <f t="shared" si="31"/>
        <v>313606</v>
      </c>
      <c r="E110" s="25" t="s">
        <v>127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>
        <v>0</v>
      </c>
      <c r="Q110" s="26">
        <v>0</v>
      </c>
      <c r="R110" s="26">
        <v>0</v>
      </c>
      <c r="S110" s="26">
        <v>0</v>
      </c>
      <c r="T110" s="164">
        <v>0</v>
      </c>
      <c r="U110" s="27">
        <v>360000</v>
      </c>
    </row>
    <row r="111" spans="2:21" ht="15">
      <c r="B111" s="24">
        <v>1313610920</v>
      </c>
      <c r="C111" s="25" t="str">
        <f t="shared" si="30"/>
        <v>920</v>
      </c>
      <c r="D111" s="25" t="str">
        <f t="shared" si="31"/>
        <v>313610</v>
      </c>
      <c r="E111" s="25" t="s">
        <v>127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>
        <f>VLOOKUP(B:B,'[3]תקבולים 2017'!B:R,15,0)</f>
        <v>294000</v>
      </c>
      <c r="Q111" s="26">
        <f>-VLOOKUP(B:B,'[3]דוח כספי 10.17 מעודכן'!A:D,4,0)</f>
        <v>295868.86</v>
      </c>
      <c r="R111" s="26">
        <f>VLOOKUP(B:B,'[3]תקבולים 2017'!B:T,17,0)</f>
        <v>355000</v>
      </c>
      <c r="S111" s="26">
        <f>Q111/10*12</f>
        <v>355042.63199999998</v>
      </c>
      <c r="T111" s="164">
        <f>VLOOKUP(B111,'תקבולים 2017'!$A$2:$Q$248,17,0)</f>
        <v>355000</v>
      </c>
      <c r="U111" s="27">
        <v>0</v>
      </c>
    </row>
    <row r="112" spans="2:21" ht="15">
      <c r="B112" s="18">
        <v>1313700920</v>
      </c>
      <c r="C112" s="19" t="str">
        <f t="shared" si="30"/>
        <v>920</v>
      </c>
      <c r="D112" s="19" t="str">
        <f t="shared" si="31"/>
        <v>313700</v>
      </c>
      <c r="E112" s="19" t="s">
        <v>128</v>
      </c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>
        <f>VLOOKUP(B:B,'[3]תקבולים 2017'!B:R,15,0)</f>
        <v>0</v>
      </c>
      <c r="Q112" s="20">
        <f>-VLOOKUP(B:B,'[3]דוח כספי 10.17 מעודכן'!A:D,4,0)</f>
        <v>0</v>
      </c>
      <c r="R112" s="20">
        <f>VLOOKUP(B:B,'[3]תקבולים 2017'!B:T,17,0)</f>
        <v>0</v>
      </c>
      <c r="S112" s="20">
        <f>Q112/10*12</f>
        <v>0</v>
      </c>
      <c r="T112" s="164">
        <f>VLOOKUP(B112,'תקבולים 2017'!$A$2:$Q$248,17,0)</f>
        <v>0</v>
      </c>
      <c r="U112" s="21">
        <v>0</v>
      </c>
    </row>
    <row r="113" spans="2:21" ht="15">
      <c r="B113" s="18">
        <v>1313800290</v>
      </c>
      <c r="C113" s="19" t="str">
        <f t="shared" si="30"/>
        <v>290</v>
      </c>
      <c r="D113" s="19" t="str">
        <f t="shared" si="31"/>
        <v>313800</v>
      </c>
      <c r="E113" s="19" t="s">
        <v>129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>
        <f>VLOOKUP(B:B,'[3]תקבולים 2017'!B:R,15,0)</f>
        <v>100000</v>
      </c>
      <c r="Q113" s="20">
        <f>-VLOOKUP(B:B,'[3]דוח כספי 10.17 מעודכן'!A:D,4,0)</f>
        <v>32400</v>
      </c>
      <c r="R113" s="20">
        <f>VLOOKUP(B:B,'[3]תקבולים 2017'!B:T,17,0)</f>
        <v>39000</v>
      </c>
      <c r="S113" s="20">
        <f>Q113/10*12</f>
        <v>38880</v>
      </c>
      <c r="T113" s="164">
        <f>VLOOKUP(B113,'תקבולים 2017'!$A$2:$Q$248,17,0)</f>
        <v>39000</v>
      </c>
      <c r="U113" s="21">
        <v>41000</v>
      </c>
    </row>
    <row r="114" spans="2:21" ht="15">
      <c r="B114" s="18">
        <v>1313900920</v>
      </c>
      <c r="C114" s="19" t="str">
        <f t="shared" si="30"/>
        <v>920</v>
      </c>
      <c r="D114" s="19" t="str">
        <f t="shared" si="31"/>
        <v>313900</v>
      </c>
      <c r="E114" s="19" t="s">
        <v>131</v>
      </c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>
        <v>0</v>
      </c>
      <c r="Q114" s="20">
        <v>0</v>
      </c>
      <c r="R114" s="20">
        <v>0</v>
      </c>
      <c r="S114" s="20">
        <v>0</v>
      </c>
      <c r="T114" s="164">
        <v>0</v>
      </c>
      <c r="U114" s="21">
        <v>377000</v>
      </c>
    </row>
    <row r="115" spans="2:21" ht="15">
      <c r="B115" s="28"/>
      <c r="C115" s="29"/>
      <c r="D115" s="29"/>
      <c r="E115" s="29" t="s">
        <v>132</v>
      </c>
      <c r="F115" s="30">
        <f t="shared" ref="F115:O115" si="33">SUM(F99:F107)</f>
        <v>951000</v>
      </c>
      <c r="G115" s="30">
        <f t="shared" si="33"/>
        <v>801190.85000000009</v>
      </c>
      <c r="H115" s="30">
        <f t="shared" si="33"/>
        <v>946804.24</v>
      </c>
      <c r="I115" s="30">
        <f t="shared" si="33"/>
        <v>946804.24</v>
      </c>
      <c r="J115" s="30" t="e">
        <f t="shared" si="33"/>
        <v>#REF!</v>
      </c>
      <c r="K115" s="30" t="e">
        <f t="shared" si="33"/>
        <v>#REF!</v>
      </c>
      <c r="L115" s="30">
        <f t="shared" si="33"/>
        <v>927753</v>
      </c>
      <c r="M115" s="30">
        <f t="shared" si="33"/>
        <v>906400</v>
      </c>
      <c r="N115" s="30">
        <f t="shared" si="33"/>
        <v>952700</v>
      </c>
      <c r="O115" s="30" t="e">
        <f t="shared" si="33"/>
        <v>#N/A</v>
      </c>
      <c r="P115" s="30">
        <f t="shared" ref="P115:S115" si="34">SUM(P78:P114)</f>
        <v>3055000</v>
      </c>
      <c r="Q115" s="30">
        <f t="shared" si="34"/>
        <v>4915079.9799999995</v>
      </c>
      <c r="R115" s="30">
        <f t="shared" si="34"/>
        <v>5884000.2479999997</v>
      </c>
      <c r="S115" s="30">
        <f t="shared" si="34"/>
        <v>5898095.9760000007</v>
      </c>
      <c r="T115" s="31">
        <f>SUM(T78:T114)</f>
        <v>6392000</v>
      </c>
      <c r="U115" s="31">
        <f>SUM(U78:U114)</f>
        <v>3567000</v>
      </c>
    </row>
    <row r="116" spans="2:21" ht="15">
      <c r="B116" s="24">
        <v>1314000920</v>
      </c>
      <c r="C116" s="25" t="str">
        <f>MID(B116,8,3)</f>
        <v>920</v>
      </c>
      <c r="D116" s="25" t="str">
        <f>MID(B116,2,6)</f>
        <v>314000</v>
      </c>
      <c r="E116" s="25" t="s">
        <v>133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>
        <f>VLOOKUP(B:B,'[3]תקבולים 2017'!B:R,15,0)</f>
        <v>645000</v>
      </c>
      <c r="Q116" s="26">
        <f>-VLOOKUP(B:B,'[3]דוח כספי 10.17 מעודכן'!A:D,4,0)</f>
        <v>547051.29</v>
      </c>
      <c r="R116" s="26">
        <f>VLOOKUP(B:B,'[3]תקבולים 2017'!B:T,17,0)</f>
        <v>656000</v>
      </c>
      <c r="S116" s="26">
        <f>Q116/10*12</f>
        <v>656461.54799999995</v>
      </c>
      <c r="T116" s="164">
        <f>VLOOKUP(B116,'תקבולים 2017'!$A$2:$Q$248,17,0)</f>
        <v>656000</v>
      </c>
      <c r="U116" s="27">
        <v>0</v>
      </c>
    </row>
    <row r="117" spans="2:21" ht="15">
      <c r="B117" s="24">
        <v>1314100920</v>
      </c>
      <c r="C117" s="25" t="str">
        <f>MID(B117,8,3)</f>
        <v>920</v>
      </c>
      <c r="D117" s="25" t="str">
        <f>MID(B117,2,6)</f>
        <v>314100</v>
      </c>
      <c r="E117" s="25" t="s">
        <v>134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44"/>
      <c r="P117" s="26">
        <v>0</v>
      </c>
      <c r="Q117" s="26">
        <v>0</v>
      </c>
      <c r="R117" s="26">
        <v>0</v>
      </c>
      <c r="S117" s="26">
        <v>0</v>
      </c>
      <c r="T117" s="164">
        <v>0</v>
      </c>
      <c r="U117" s="27">
        <v>1660000</v>
      </c>
    </row>
    <row r="118" spans="2:21" ht="15">
      <c r="B118" s="28"/>
      <c r="C118" s="29"/>
      <c r="D118" s="29"/>
      <c r="E118" s="29" t="s">
        <v>135</v>
      </c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>
        <f t="shared" ref="P118:S118" si="35">SUM(P116:P117)</f>
        <v>645000</v>
      </c>
      <c r="Q118" s="30">
        <f t="shared" si="35"/>
        <v>547051.29</v>
      </c>
      <c r="R118" s="30">
        <f t="shared" si="35"/>
        <v>656000</v>
      </c>
      <c r="S118" s="30">
        <f t="shared" si="35"/>
        <v>656461.54799999995</v>
      </c>
      <c r="T118" s="31">
        <f>SUM(T116:T117)</f>
        <v>656000</v>
      </c>
      <c r="U118" s="31">
        <f>SUM(U116:U117)</f>
        <v>1660000</v>
      </c>
    </row>
    <row r="119" spans="2:21" ht="15">
      <c r="B119" s="24">
        <v>1315000920</v>
      </c>
      <c r="C119" s="25" t="str">
        <f t="shared" ref="C119:C165" si="36">MID(B119,8,3)</f>
        <v>920</v>
      </c>
      <c r="D119" s="25" t="str">
        <f t="shared" ref="D119:D165" si="37">MID(B119,2,6)</f>
        <v>315000</v>
      </c>
      <c r="E119" s="25" t="s">
        <v>136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>
        <v>0</v>
      </c>
      <c r="Q119" s="26">
        <v>0</v>
      </c>
      <c r="R119" s="26">
        <v>0</v>
      </c>
      <c r="S119" s="26">
        <v>0</v>
      </c>
      <c r="T119" s="164">
        <v>0</v>
      </c>
      <c r="U119" s="27">
        <v>31000</v>
      </c>
    </row>
    <row r="120" spans="2:21" ht="15">
      <c r="B120" s="24">
        <v>1315001920</v>
      </c>
      <c r="C120" s="25" t="str">
        <f t="shared" si="36"/>
        <v>920</v>
      </c>
      <c r="D120" s="25" t="str">
        <f t="shared" si="37"/>
        <v>315001</v>
      </c>
      <c r="E120" s="25" t="s">
        <v>90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>
        <v>0</v>
      </c>
      <c r="Q120" s="26">
        <v>0</v>
      </c>
      <c r="R120" s="26">
        <v>0</v>
      </c>
      <c r="S120" s="26">
        <v>0</v>
      </c>
      <c r="T120" s="164">
        <v>0</v>
      </c>
      <c r="U120" s="27">
        <v>8500000</v>
      </c>
    </row>
    <row r="121" spans="2:21" ht="15">
      <c r="B121" s="24">
        <v>1315100920</v>
      </c>
      <c r="C121" s="25" t="str">
        <f t="shared" si="36"/>
        <v>920</v>
      </c>
      <c r="D121" s="25" t="str">
        <f t="shared" si="37"/>
        <v>315100</v>
      </c>
      <c r="E121" s="25" t="s">
        <v>137</v>
      </c>
      <c r="F121" s="26">
        <v>5000</v>
      </c>
      <c r="G121" s="26"/>
      <c r="H121" s="26">
        <f t="shared" ref="H121:H130" si="38">G121*12/10</f>
        <v>0</v>
      </c>
      <c r="I121" s="26">
        <f t="shared" ref="I121:I130" si="39">H121</f>
        <v>0</v>
      </c>
      <c r="J121" s="26">
        <v>0</v>
      </c>
      <c r="K121" s="26">
        <f t="shared" ref="K121:K126" si="40">+J121*1.71428571428571</f>
        <v>0</v>
      </c>
      <c r="L121" s="26">
        <v>0</v>
      </c>
      <c r="M121" s="26"/>
      <c r="N121" s="26"/>
      <c r="O121" s="26"/>
      <c r="P121" s="26">
        <f>VLOOKUP(B:B,'[3]תקבולים 2017'!B:R,15,0)</f>
        <v>438000</v>
      </c>
      <c r="Q121" s="26">
        <f>-VLOOKUP(B:B,'[3]דוח כספי 10.17 מעודכן'!A:D,4,0)</f>
        <v>537504.44999999995</v>
      </c>
      <c r="R121" s="26">
        <f>VLOOKUP(B:B,'[3]תקבולים 2017'!B:T,17,0)</f>
        <v>644000</v>
      </c>
      <c r="S121" s="26">
        <f t="shared" ref="S121:S132" si="41">Q121/10*12</f>
        <v>645005.33999999985</v>
      </c>
      <c r="T121" s="164">
        <f>VLOOKUP(B121,'תקבולים 2017'!$A$2:$Q$248,17,0)</f>
        <v>644000</v>
      </c>
      <c r="U121" s="27">
        <v>650000</v>
      </c>
    </row>
    <row r="122" spans="2:21" ht="15">
      <c r="B122" s="24">
        <v>1315110920</v>
      </c>
      <c r="C122" s="25" t="str">
        <f t="shared" si="36"/>
        <v>920</v>
      </c>
      <c r="D122" s="25" t="str">
        <f t="shared" si="37"/>
        <v>315110</v>
      </c>
      <c r="E122" s="25" t="s">
        <v>138</v>
      </c>
      <c r="F122" s="26">
        <v>5608000</v>
      </c>
      <c r="G122" s="26">
        <f>4190284.83+250000</f>
        <v>4440284.83</v>
      </c>
      <c r="H122" s="26">
        <f t="shared" si="38"/>
        <v>5328341.7960000001</v>
      </c>
      <c r="I122" s="26">
        <f t="shared" si="39"/>
        <v>5328341.7960000001</v>
      </c>
      <c r="J122" s="26" t="e">
        <f>VLOOKUP(B122,#REF!,6,0)</f>
        <v>#REF!</v>
      </c>
      <c r="K122" s="26" t="e">
        <f t="shared" si="40"/>
        <v>#REF!</v>
      </c>
      <c r="L122" s="26">
        <v>5500000</v>
      </c>
      <c r="M122" s="26">
        <v>5800000</v>
      </c>
      <c r="N122" s="26">
        <v>6500000</v>
      </c>
      <c r="O122" s="26">
        <v>4133842.95</v>
      </c>
      <c r="P122" s="26">
        <f>VLOOKUP(B:B,'[3]תקבולים 2017'!B:R,15,0)</f>
        <v>1088000</v>
      </c>
      <c r="Q122" s="26">
        <f>-VLOOKUP(B:B,'[3]דוח כספי 10.17 מעודכן'!A:D,4,0)</f>
        <v>1259810.47</v>
      </c>
      <c r="R122" s="26">
        <f>VLOOKUP(B:B,'[3]תקבולים 2017'!B:T,17,0)</f>
        <v>1512000</v>
      </c>
      <c r="S122" s="26">
        <f t="shared" si="41"/>
        <v>1511772.5639999998</v>
      </c>
      <c r="T122" s="164">
        <f>VLOOKUP(B122,'תקבולים 2017'!$A$2:$Q$248,17,0)</f>
        <v>1512000</v>
      </c>
      <c r="U122" s="27">
        <v>0</v>
      </c>
    </row>
    <row r="123" spans="2:21" ht="15">
      <c r="B123" s="24">
        <v>1315111920</v>
      </c>
      <c r="C123" s="25" t="str">
        <f t="shared" si="36"/>
        <v>920</v>
      </c>
      <c r="D123" s="25" t="str">
        <f t="shared" si="37"/>
        <v>315111</v>
      </c>
      <c r="E123" s="25" t="s">
        <v>140</v>
      </c>
      <c r="F123" s="26"/>
      <c r="G123" s="26">
        <v>3061.04</v>
      </c>
      <c r="H123" s="26">
        <f t="shared" si="38"/>
        <v>3673.2479999999996</v>
      </c>
      <c r="I123" s="26">
        <f t="shared" si="39"/>
        <v>3673.2479999999996</v>
      </c>
      <c r="J123" s="26" t="e">
        <f>VLOOKUP(B123,#REF!,6,0)</f>
        <v>#REF!</v>
      </c>
      <c r="K123" s="26" t="e">
        <f t="shared" si="40"/>
        <v>#REF!</v>
      </c>
      <c r="L123" s="26">
        <v>5000</v>
      </c>
      <c r="M123" s="26">
        <v>4100</v>
      </c>
      <c r="N123" s="26">
        <v>4100</v>
      </c>
      <c r="O123" s="26" t="e">
        <f>VLOOKUP(B123,[3]כספי!$A$1:$E$324,5,0)</f>
        <v>#N/A</v>
      </c>
      <c r="P123" s="26">
        <f>VLOOKUP(B:B,'[3]תקבולים 2017'!B:R,15,0)</f>
        <v>0</v>
      </c>
      <c r="Q123" s="26">
        <f>-VLOOKUP(B:B,'[3]דוח כספי 10.17 מעודכן'!A:D,4,0)</f>
        <v>0</v>
      </c>
      <c r="R123" s="26">
        <f>VLOOKUP(B:B,'[3]תקבולים 2017'!B:T,17,0)</f>
        <v>0</v>
      </c>
      <c r="S123" s="26">
        <f t="shared" si="41"/>
        <v>0</v>
      </c>
      <c r="T123" s="164">
        <f>VLOOKUP(B123,'תקבולים 2017'!$A$2:$Q$248,17,0)</f>
        <v>0</v>
      </c>
      <c r="U123" s="27">
        <v>0</v>
      </c>
    </row>
    <row r="124" spans="2:21" ht="15">
      <c r="B124" s="24">
        <v>1315120420</v>
      </c>
      <c r="C124" s="25" t="str">
        <f t="shared" si="36"/>
        <v>420</v>
      </c>
      <c r="D124" s="25" t="str">
        <f t="shared" si="37"/>
        <v>315120</v>
      </c>
      <c r="E124" s="25" t="s">
        <v>141</v>
      </c>
      <c r="F124" s="26">
        <v>19000</v>
      </c>
      <c r="G124" s="26">
        <v>16677.740000000002</v>
      </c>
      <c r="H124" s="26">
        <f t="shared" si="38"/>
        <v>20013.288</v>
      </c>
      <c r="I124" s="26">
        <f t="shared" si="39"/>
        <v>20013.288</v>
      </c>
      <c r="J124" s="26" t="e">
        <f>VLOOKUP(B124,#REF!,6,0)</f>
        <v>#REF!</v>
      </c>
      <c r="K124" s="26" t="e">
        <f t="shared" si="40"/>
        <v>#REF!</v>
      </c>
      <c r="L124" s="26">
        <v>20000</v>
      </c>
      <c r="M124" s="26">
        <v>18900</v>
      </c>
      <c r="N124" s="26">
        <v>20000</v>
      </c>
      <c r="O124" s="26" t="e">
        <f>VLOOKUP(B124,[3]כספי!$A$1:$E$324,5,0)</f>
        <v>#N/A</v>
      </c>
      <c r="P124" s="26">
        <f>VLOOKUP(B:B,'[3]תקבולים 2017'!B:R,15,0)</f>
        <v>14000</v>
      </c>
      <c r="Q124" s="26">
        <f>-VLOOKUP(B:B,'[3]דוח כספי 10.17 מעודכן'!A:D,4,0)</f>
        <v>0</v>
      </c>
      <c r="R124" s="26">
        <f>VLOOKUP(B:B,'[3]תקבולים 2017'!B:T,17,0)</f>
        <v>0</v>
      </c>
      <c r="S124" s="26">
        <f t="shared" si="41"/>
        <v>0</v>
      </c>
      <c r="T124" s="164">
        <f>VLOOKUP(B124,'תקבולים 2017'!$A$2:$Q$248,17,0)</f>
        <v>0</v>
      </c>
      <c r="U124" s="27">
        <v>0</v>
      </c>
    </row>
    <row r="125" spans="2:21" ht="15">
      <c r="B125" s="24">
        <v>1315120920</v>
      </c>
      <c r="C125" s="25" t="str">
        <f t="shared" si="36"/>
        <v>920</v>
      </c>
      <c r="D125" s="25" t="str">
        <f t="shared" si="37"/>
        <v>315120</v>
      </c>
      <c r="E125" s="25" t="s">
        <v>142</v>
      </c>
      <c r="F125" s="26">
        <v>280000</v>
      </c>
      <c r="G125" s="26">
        <v>224129.89</v>
      </c>
      <c r="H125" s="26">
        <f t="shared" si="38"/>
        <v>268955.86800000002</v>
      </c>
      <c r="I125" s="26">
        <f t="shared" si="39"/>
        <v>268955.86800000002</v>
      </c>
      <c r="J125" s="26" t="e">
        <f>VLOOKUP(B125,#REF!,6,0)</f>
        <v>#REF!</v>
      </c>
      <c r="K125" s="26" t="e">
        <f t="shared" si="40"/>
        <v>#REF!</v>
      </c>
      <c r="L125" s="26">
        <v>275000</v>
      </c>
      <c r="M125" s="26">
        <v>280000</v>
      </c>
      <c r="N125" s="26">
        <f>280000+27000</f>
        <v>307000</v>
      </c>
      <c r="O125" s="26" t="e">
        <f>VLOOKUP(B125,[3]כספי!$A$1:$E$324,5,0)</f>
        <v>#N/A</v>
      </c>
      <c r="P125" s="26">
        <f>VLOOKUP(B:B,'[3]תקבולים 2017'!B:R,15,0)</f>
        <v>7000</v>
      </c>
      <c r="Q125" s="26">
        <f>-VLOOKUP(B:B,'[3]דוח כספי 10.17 מעודכן'!A:D,4,0)</f>
        <v>5126.6400000000003</v>
      </c>
      <c r="R125" s="26">
        <f>VLOOKUP(B:B,'[3]תקבולים 2017'!B:T,17,0)</f>
        <v>6000</v>
      </c>
      <c r="S125" s="26">
        <f t="shared" si="41"/>
        <v>6151.9679999999998</v>
      </c>
      <c r="T125" s="164">
        <f>VLOOKUP(B125,'תקבולים 2017'!$A$2:$Q$248,17,0)</f>
        <v>6000</v>
      </c>
      <c r="U125" s="27">
        <v>0</v>
      </c>
    </row>
    <row r="126" spans="2:21" ht="15">
      <c r="B126" s="24">
        <v>1315130920</v>
      </c>
      <c r="C126" s="25" t="str">
        <f t="shared" si="36"/>
        <v>920</v>
      </c>
      <c r="D126" s="25" t="str">
        <f t="shared" si="37"/>
        <v>315130</v>
      </c>
      <c r="E126" s="25" t="s">
        <v>143</v>
      </c>
      <c r="F126" s="26">
        <v>3000</v>
      </c>
      <c r="G126" s="26">
        <v>16375.16</v>
      </c>
      <c r="H126" s="26">
        <f t="shared" si="38"/>
        <v>19650.191999999999</v>
      </c>
      <c r="I126" s="26">
        <f t="shared" si="39"/>
        <v>19650.191999999999</v>
      </c>
      <c r="J126" s="26" t="e">
        <f>VLOOKUP(B126,#REF!,6,0)</f>
        <v>#REF!</v>
      </c>
      <c r="K126" s="26" t="e">
        <f t="shared" si="40"/>
        <v>#REF!</v>
      </c>
      <c r="L126" s="26">
        <v>25000</v>
      </c>
      <c r="M126" s="26">
        <v>27500</v>
      </c>
      <c r="N126" s="26">
        <v>27500</v>
      </c>
      <c r="O126" s="26" t="e">
        <f>VLOOKUP(B126,[3]כספי!$A$1:$E$324,5,0)</f>
        <v>#N/A</v>
      </c>
      <c r="P126" s="26">
        <f>VLOOKUP(B:B,'[3]תקבולים 2017'!B:R,15,0)</f>
        <v>19000</v>
      </c>
      <c r="Q126" s="26">
        <f>-VLOOKUP(B:B,'[3]דוח כספי 10.17 מעודכן'!A:D,4,0)</f>
        <v>16701.599999999999</v>
      </c>
      <c r="R126" s="26">
        <f>VLOOKUP(B:B,'[3]תקבולים 2017'!B:T,17,0)</f>
        <v>20000</v>
      </c>
      <c r="S126" s="26">
        <f t="shared" si="41"/>
        <v>20041.919999999998</v>
      </c>
      <c r="T126" s="164">
        <f>VLOOKUP(B126,'תקבולים 2017'!$A$2:$Q$248,17,0)</f>
        <v>20000</v>
      </c>
      <c r="U126" s="27">
        <v>0</v>
      </c>
    </row>
    <row r="127" spans="2:21" ht="15">
      <c r="B127" s="24">
        <v>1315140920</v>
      </c>
      <c r="C127" s="25" t="str">
        <f t="shared" si="36"/>
        <v>920</v>
      </c>
      <c r="D127" s="25" t="str">
        <f t="shared" si="37"/>
        <v>315140</v>
      </c>
      <c r="E127" s="25" t="s">
        <v>144</v>
      </c>
      <c r="F127" s="26">
        <v>320000</v>
      </c>
      <c r="G127" s="26">
        <v>238845.65</v>
      </c>
      <c r="H127" s="26">
        <f t="shared" si="38"/>
        <v>286614.77999999997</v>
      </c>
      <c r="I127" s="26">
        <f t="shared" si="39"/>
        <v>286614.77999999997</v>
      </c>
      <c r="J127" s="26" t="e">
        <f>VLOOKUP(B127,#REF!,6,0)</f>
        <v>#REF!</v>
      </c>
      <c r="K127" s="26">
        <v>237510</v>
      </c>
      <c r="L127" s="26">
        <v>237510</v>
      </c>
      <c r="M127" s="26">
        <v>24200</v>
      </c>
      <c r="N127" s="26">
        <v>240200</v>
      </c>
      <c r="O127" s="26" t="e">
        <f>VLOOKUP(B127,[3]כספי!$A$1:$E$324,5,0)</f>
        <v>#N/A</v>
      </c>
      <c r="P127" s="26">
        <f>VLOOKUP(B:B,'[3]תקבולים 2017'!B:R,15,0)</f>
        <v>3000</v>
      </c>
      <c r="Q127" s="26">
        <f>-VLOOKUP(B:B,'[3]דוח כספי 10.17 מעודכן'!A:D,4,0)</f>
        <v>3256.8</v>
      </c>
      <c r="R127" s="26">
        <f>VLOOKUP(B:B,'[3]תקבולים 2017'!B:T,17,0)</f>
        <v>4000</v>
      </c>
      <c r="S127" s="26">
        <f t="shared" si="41"/>
        <v>3908.16</v>
      </c>
      <c r="T127" s="164">
        <f>VLOOKUP(B127,'תקבולים 2017'!$A$2:$Q$248,17,0)</f>
        <v>4000</v>
      </c>
      <c r="U127" s="27">
        <v>0</v>
      </c>
    </row>
    <row r="128" spans="2:21" ht="15">
      <c r="B128" s="24">
        <v>1315150920</v>
      </c>
      <c r="C128" s="25" t="str">
        <f t="shared" si="36"/>
        <v>920</v>
      </c>
      <c r="D128" s="25" t="str">
        <f t="shared" si="37"/>
        <v>315150</v>
      </c>
      <c r="E128" s="25" t="s">
        <v>145</v>
      </c>
      <c r="F128" s="26">
        <v>40000</v>
      </c>
      <c r="G128" s="26">
        <v>6257.86</v>
      </c>
      <c r="H128" s="26">
        <f t="shared" si="38"/>
        <v>7509.4319999999989</v>
      </c>
      <c r="I128" s="26">
        <f t="shared" si="39"/>
        <v>7509.4319999999989</v>
      </c>
      <c r="J128" s="26" t="e">
        <f>VLOOKUP(B128,#REF!,6,0)</f>
        <v>#REF!</v>
      </c>
      <c r="K128" s="26" t="e">
        <f>+J128*1.71428571428571</f>
        <v>#REF!</v>
      </c>
      <c r="L128" s="26">
        <v>0</v>
      </c>
      <c r="M128" s="26">
        <v>361700</v>
      </c>
      <c r="N128" s="26">
        <v>361700</v>
      </c>
      <c r="O128" s="26" t="e">
        <f>VLOOKUP(B128,[3]כספי!$A$1:$E$324,5,0)</f>
        <v>#N/A</v>
      </c>
      <c r="P128" s="26">
        <f>VLOOKUP(B:B,'[3]תקבולים 2017'!B:R,15,0)</f>
        <v>485000</v>
      </c>
      <c r="Q128" s="26">
        <f>-VLOOKUP(B:B,'[3]דוח כספי 10.17 מעודכן'!A:D,4,0)</f>
        <v>196881.88</v>
      </c>
      <c r="R128" s="26">
        <f>VLOOKUP(B:B,'[3]תקבולים 2017'!B:T,17,0)</f>
        <v>236000</v>
      </c>
      <c r="S128" s="26">
        <f t="shared" si="41"/>
        <v>236258.25600000002</v>
      </c>
      <c r="T128" s="164">
        <f>VLOOKUP(B128,'תקבולים 2017'!$A$2:$Q$248,17,0)</f>
        <v>236000</v>
      </c>
      <c r="U128" s="27">
        <v>0</v>
      </c>
    </row>
    <row r="129" spans="2:21" ht="15">
      <c r="B129" s="24">
        <v>1315160920</v>
      </c>
      <c r="C129" s="25" t="str">
        <f t="shared" si="36"/>
        <v>920</v>
      </c>
      <c r="D129" s="25" t="str">
        <f t="shared" si="37"/>
        <v>315160</v>
      </c>
      <c r="E129" s="25" t="s">
        <v>147</v>
      </c>
      <c r="F129" s="26">
        <v>1050000</v>
      </c>
      <c r="G129" s="26">
        <v>1138070.1399999999</v>
      </c>
      <c r="H129" s="26">
        <f t="shared" si="38"/>
        <v>1365684.1680000001</v>
      </c>
      <c r="I129" s="26">
        <f t="shared" si="39"/>
        <v>1365684.1680000001</v>
      </c>
      <c r="J129" s="26" t="e">
        <f>VLOOKUP(B129,#REF!,6,0)</f>
        <v>#REF!</v>
      </c>
      <c r="K129" s="26" t="e">
        <f>+J129*1.71428571428571</f>
        <v>#REF!</v>
      </c>
      <c r="L129" s="26">
        <v>1400000</v>
      </c>
      <c r="M129" s="26">
        <v>1370000</v>
      </c>
      <c r="N129" s="26">
        <v>1405000</v>
      </c>
      <c r="O129" s="26" t="e">
        <f>VLOOKUP(B129,[3]כספי!$A$1:$E$324,5,0)</f>
        <v>#N/A</v>
      </c>
      <c r="P129" s="26">
        <f>VLOOKUP(B:B,'[3]תקבולים 2017'!B:R,15,0)</f>
        <v>0</v>
      </c>
      <c r="Q129" s="26">
        <f>-VLOOKUP(B:B,'[3]דוח כספי 10.17 מעודכן'!A:D,4,0)</f>
        <v>0</v>
      </c>
      <c r="R129" s="26">
        <f>VLOOKUP(B:B,'[3]תקבולים 2017'!B:T,17,0)</f>
        <v>0</v>
      </c>
      <c r="S129" s="26">
        <f t="shared" si="41"/>
        <v>0</v>
      </c>
      <c r="T129" s="164">
        <f>VLOOKUP(B129,'תקבולים 2017'!$A$2:$Q$248,17,0)</f>
        <v>0</v>
      </c>
      <c r="U129" s="27">
        <v>0</v>
      </c>
    </row>
    <row r="130" spans="2:21" ht="15">
      <c r="B130" s="24">
        <v>1315170920</v>
      </c>
      <c r="C130" s="25" t="str">
        <f t="shared" si="36"/>
        <v>920</v>
      </c>
      <c r="D130" s="25" t="str">
        <f t="shared" si="37"/>
        <v>315170</v>
      </c>
      <c r="E130" s="25" t="s">
        <v>148</v>
      </c>
      <c r="F130" s="26">
        <v>27000</v>
      </c>
      <c r="G130" s="26">
        <v>61580.08</v>
      </c>
      <c r="H130" s="26">
        <f t="shared" si="38"/>
        <v>73896.09599999999</v>
      </c>
      <c r="I130" s="26">
        <f t="shared" si="39"/>
        <v>73896.09599999999</v>
      </c>
      <c r="J130" s="26" t="e">
        <f>VLOOKUP(B130,#REF!,6,0)</f>
        <v>#REF!</v>
      </c>
      <c r="K130" s="26" t="e">
        <f>+J130*1.71428571428571</f>
        <v>#REF!</v>
      </c>
      <c r="L130" s="26">
        <v>40000</v>
      </c>
      <c r="M130" s="26">
        <v>27500</v>
      </c>
      <c r="N130" s="26">
        <v>40000</v>
      </c>
      <c r="O130" s="26" t="e">
        <f>VLOOKUP(B130,[3]כספי!$A$1:$E$324,5,0)</f>
        <v>#N/A</v>
      </c>
      <c r="P130" s="26">
        <f>VLOOKUP(B:B,'[3]תקבולים 2017'!B:R,15,0)</f>
        <v>2667000</v>
      </c>
      <c r="Q130" s="26">
        <f>-VLOOKUP(B:B,'[3]דוח כספי 10.17 מעודכן'!A:D,4,0)</f>
        <v>2604420.58</v>
      </c>
      <c r="R130" s="26">
        <f>VLOOKUP(B:B,'[3]תקבולים 2017'!B:T,17,0)</f>
        <v>2984000</v>
      </c>
      <c r="S130" s="26">
        <f t="shared" si="41"/>
        <v>3125304.6960000005</v>
      </c>
      <c r="T130" s="164">
        <f>VLOOKUP(B130,'תקבולים 2017'!$A$2:$Q$248,17,0)</f>
        <v>2984000</v>
      </c>
      <c r="U130" s="27">
        <v>0</v>
      </c>
    </row>
    <row r="131" spans="2:21" ht="15">
      <c r="B131" s="24">
        <v>1315171920</v>
      </c>
      <c r="C131" s="25" t="str">
        <f t="shared" si="36"/>
        <v>920</v>
      </c>
      <c r="D131" s="25" t="str">
        <f t="shared" si="37"/>
        <v>315171</v>
      </c>
      <c r="E131" s="25" t="s">
        <v>150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 t="e">
        <f>VLOOKUP(B131,[3]כספי!$A$1:$E$324,5,0)</f>
        <v>#N/A</v>
      </c>
      <c r="P131" s="26">
        <f>VLOOKUP(B:B,'[3]תקבולים 2017'!B:R,15,0)</f>
        <v>0</v>
      </c>
      <c r="Q131" s="26">
        <f>-VLOOKUP(B:B,'[3]דוח כספי 10.17 מעודכן'!A:D,4,0)</f>
        <v>1399187.4</v>
      </c>
      <c r="R131" s="26">
        <f>VLOOKUP(B:B,'[3]תקבולים 2017'!B:T,17,0)</f>
        <v>2119000</v>
      </c>
      <c r="S131" s="26">
        <f t="shared" si="41"/>
        <v>1679024.88</v>
      </c>
      <c r="T131" s="164">
        <f>VLOOKUP(B131,'תקבולים 2017'!$A$2:$Q$248,17,0)</f>
        <v>2119000</v>
      </c>
      <c r="U131" s="27">
        <v>0</v>
      </c>
    </row>
    <row r="132" spans="2:21" ht="15">
      <c r="B132" s="24">
        <v>1315180740</v>
      </c>
      <c r="C132" s="25" t="str">
        <f t="shared" si="36"/>
        <v>740</v>
      </c>
      <c r="D132" s="25" t="str">
        <f t="shared" si="37"/>
        <v>315180</v>
      </c>
      <c r="E132" s="25" t="s">
        <v>152</v>
      </c>
      <c r="F132" s="26">
        <v>60000</v>
      </c>
      <c r="G132" s="26">
        <v>41314.89</v>
      </c>
      <c r="H132" s="26">
        <f>G132*12/10</f>
        <v>49577.868000000002</v>
      </c>
      <c r="I132" s="26">
        <f>H132</f>
        <v>49577.868000000002</v>
      </c>
      <c r="J132" s="26" t="e">
        <f>VLOOKUP(B132,#REF!,6,0)</f>
        <v>#REF!</v>
      </c>
      <c r="K132" s="26" t="e">
        <f>+J132*1.71428571428571</f>
        <v>#REF!</v>
      </c>
      <c r="L132" s="26">
        <v>60000</v>
      </c>
      <c r="M132" s="26">
        <v>48700</v>
      </c>
      <c r="N132" s="26">
        <v>50000</v>
      </c>
      <c r="O132" s="26" t="e">
        <f>VLOOKUP(B132,[3]כספי!$A$1:$E$324,5,0)</f>
        <v>#N/A</v>
      </c>
      <c r="P132" s="26">
        <f>VLOOKUP(B:B,'[3]תקבולים 2017'!B:R,15,0)</f>
        <v>70000</v>
      </c>
      <c r="Q132" s="26">
        <f>-VLOOKUP(B:B,'[3]דוח כספי 10.17 מעודכן'!A:D,4,0)</f>
        <v>0</v>
      </c>
      <c r="R132" s="26">
        <f>VLOOKUP(B:B,'[3]תקבולים 2017'!B:T,17,0)</f>
        <v>0</v>
      </c>
      <c r="S132" s="26">
        <f t="shared" si="41"/>
        <v>0</v>
      </c>
      <c r="T132" s="164">
        <f>VLOOKUP(B132,'תקבולים 2017'!$A$2:$Q$248,17,0)</f>
        <v>0</v>
      </c>
      <c r="U132" s="27">
        <v>0</v>
      </c>
    </row>
    <row r="133" spans="2:21" ht="15">
      <c r="B133" s="24">
        <v>1315180920</v>
      </c>
      <c r="C133" s="25" t="str">
        <f t="shared" si="36"/>
        <v>920</v>
      </c>
      <c r="D133" s="25" t="str">
        <f t="shared" si="37"/>
        <v>315180</v>
      </c>
      <c r="E133" s="25" t="s">
        <v>153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44"/>
      <c r="P133" s="26">
        <v>0</v>
      </c>
      <c r="Q133" s="26">
        <v>0</v>
      </c>
      <c r="R133" s="26">
        <v>0</v>
      </c>
      <c r="S133" s="26">
        <v>0</v>
      </c>
      <c r="T133" s="164">
        <v>0</v>
      </c>
      <c r="U133" s="27">
        <v>231000</v>
      </c>
    </row>
    <row r="134" spans="2:21" ht="15">
      <c r="B134" s="18">
        <v>1315200920</v>
      </c>
      <c r="C134" s="19" t="str">
        <f t="shared" si="36"/>
        <v>920</v>
      </c>
      <c r="D134" s="19" t="str">
        <f t="shared" si="37"/>
        <v>315200</v>
      </c>
      <c r="E134" s="19" t="s">
        <v>154</v>
      </c>
      <c r="F134" s="20"/>
      <c r="G134" s="20"/>
      <c r="H134" s="20"/>
      <c r="I134" s="20"/>
      <c r="J134" s="20"/>
      <c r="K134" s="20"/>
      <c r="L134" s="20"/>
      <c r="M134" s="20"/>
      <c r="N134" s="20"/>
      <c r="O134" s="20">
        <f>VLOOKUP(B134,[3]כספי!$A$1:$E$324,5,0)</f>
        <v>4927822.71</v>
      </c>
      <c r="P134" s="20">
        <f>VLOOKUP(B:B,'[3]תקבולים 2017'!B:R,15,0)</f>
        <v>0</v>
      </c>
      <c r="Q134" s="20">
        <f>-VLOOKUP(B:B,'[3]דוח כספי 10.17 מעודכן'!A:D,4,0)</f>
        <v>0</v>
      </c>
      <c r="R134" s="20">
        <f>VLOOKUP(B:B,'[3]תקבולים 2017'!B:T,17,0)</f>
        <v>0</v>
      </c>
      <c r="S134" s="20">
        <f>Q134/10*12</f>
        <v>0</v>
      </c>
      <c r="T134" s="164">
        <f>VLOOKUP(B134,'תקבולים 2017'!$A$2:$Q$248,17,0)</f>
        <v>0</v>
      </c>
      <c r="U134" s="21">
        <v>0</v>
      </c>
    </row>
    <row r="135" spans="2:21" ht="15">
      <c r="B135" s="24">
        <v>1315207920</v>
      </c>
      <c r="C135" s="25" t="str">
        <f t="shared" si="36"/>
        <v>920</v>
      </c>
      <c r="D135" s="25" t="str">
        <f t="shared" si="37"/>
        <v>315207</v>
      </c>
      <c r="E135" s="25" t="s">
        <v>155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44"/>
      <c r="P135" s="26">
        <v>0</v>
      </c>
      <c r="Q135" s="26">
        <v>0</v>
      </c>
      <c r="R135" s="26">
        <v>0</v>
      </c>
      <c r="S135" s="26">
        <v>0</v>
      </c>
      <c r="T135" s="164">
        <v>0</v>
      </c>
      <c r="U135" s="27">
        <v>38000</v>
      </c>
    </row>
    <row r="136" spans="2:21" ht="15">
      <c r="B136" s="24">
        <v>1315208920</v>
      </c>
      <c r="C136" s="25" t="str">
        <f t="shared" si="36"/>
        <v>920</v>
      </c>
      <c r="D136" s="25" t="str">
        <f t="shared" si="37"/>
        <v>315208</v>
      </c>
      <c r="E136" s="25" t="s">
        <v>156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44"/>
      <c r="P136" s="26">
        <v>0</v>
      </c>
      <c r="Q136" s="26">
        <v>0</v>
      </c>
      <c r="R136" s="26">
        <v>0</v>
      </c>
      <c r="S136" s="26">
        <v>0</v>
      </c>
      <c r="T136" s="164">
        <v>0</v>
      </c>
      <c r="U136" s="27">
        <v>48000</v>
      </c>
    </row>
    <row r="137" spans="2:21" ht="15">
      <c r="B137" s="24">
        <v>1315209920</v>
      </c>
      <c r="C137" s="25" t="str">
        <f t="shared" si="36"/>
        <v>920</v>
      </c>
      <c r="D137" s="25" t="str">
        <f t="shared" si="37"/>
        <v>315209</v>
      </c>
      <c r="E137" s="25" t="s">
        <v>157</v>
      </c>
      <c r="F137" s="26"/>
      <c r="G137" s="26"/>
      <c r="H137" s="26"/>
      <c r="I137" s="26"/>
      <c r="J137" s="26"/>
      <c r="K137" s="26"/>
      <c r="L137" s="26"/>
      <c r="M137" s="26"/>
      <c r="N137" s="26"/>
      <c r="O137" s="44"/>
      <c r="P137" s="26">
        <v>0</v>
      </c>
      <c r="Q137" s="26">
        <v>0</v>
      </c>
      <c r="R137" s="26">
        <v>0</v>
      </c>
      <c r="S137" s="26">
        <v>0</v>
      </c>
      <c r="T137" s="164">
        <v>0</v>
      </c>
      <c r="U137" s="27">
        <v>9000</v>
      </c>
    </row>
    <row r="138" spans="2:21" ht="15">
      <c r="B138" s="24">
        <v>1315215920</v>
      </c>
      <c r="C138" s="25" t="str">
        <f t="shared" si="36"/>
        <v>920</v>
      </c>
      <c r="D138" s="25" t="str">
        <f t="shared" si="37"/>
        <v>315215</v>
      </c>
      <c r="E138" s="25" t="s">
        <v>158</v>
      </c>
      <c r="F138" s="26"/>
      <c r="G138" s="26"/>
      <c r="H138" s="26"/>
      <c r="I138" s="26"/>
      <c r="J138" s="26"/>
      <c r="K138" s="26"/>
      <c r="L138" s="26"/>
      <c r="M138" s="26"/>
      <c r="N138" s="26"/>
      <c r="O138" s="44"/>
      <c r="P138" s="26">
        <v>0</v>
      </c>
      <c r="Q138" s="26">
        <v>0</v>
      </c>
      <c r="R138" s="26">
        <v>0</v>
      </c>
      <c r="S138" s="26">
        <v>0</v>
      </c>
      <c r="T138" s="164">
        <v>0</v>
      </c>
      <c r="U138" s="27">
        <v>62000</v>
      </c>
    </row>
    <row r="139" spans="2:21" ht="15">
      <c r="B139" s="24">
        <v>1315216920</v>
      </c>
      <c r="C139" s="25" t="str">
        <f t="shared" si="36"/>
        <v>920</v>
      </c>
      <c r="D139" s="25" t="str">
        <f t="shared" si="37"/>
        <v>315216</v>
      </c>
      <c r="E139" s="25" t="s">
        <v>159</v>
      </c>
      <c r="F139" s="26"/>
      <c r="G139" s="26"/>
      <c r="H139" s="26"/>
      <c r="I139" s="26"/>
      <c r="J139" s="26"/>
      <c r="K139" s="26"/>
      <c r="L139" s="26"/>
      <c r="M139" s="26"/>
      <c r="N139" s="26"/>
      <c r="O139" s="44"/>
      <c r="P139" s="26">
        <v>0</v>
      </c>
      <c r="Q139" s="26">
        <v>0</v>
      </c>
      <c r="R139" s="26">
        <v>0</v>
      </c>
      <c r="S139" s="26">
        <v>0</v>
      </c>
      <c r="T139" s="164">
        <v>0</v>
      </c>
      <c r="U139" s="27">
        <v>3000</v>
      </c>
    </row>
    <row r="140" spans="2:21" ht="15">
      <c r="B140" s="24">
        <v>1315251920</v>
      </c>
      <c r="C140" s="25" t="str">
        <f t="shared" si="36"/>
        <v>920</v>
      </c>
      <c r="D140" s="25" t="str">
        <f t="shared" si="37"/>
        <v>315251</v>
      </c>
      <c r="E140" s="25" t="s">
        <v>160</v>
      </c>
      <c r="F140" s="26"/>
      <c r="G140" s="26"/>
      <c r="H140" s="26"/>
      <c r="I140" s="26"/>
      <c r="J140" s="26"/>
      <c r="K140" s="26"/>
      <c r="L140" s="26"/>
      <c r="M140" s="26"/>
      <c r="N140" s="26"/>
      <c r="O140" s="44"/>
      <c r="P140" s="26">
        <v>0</v>
      </c>
      <c r="Q140" s="26">
        <v>0</v>
      </c>
      <c r="R140" s="26">
        <v>0</v>
      </c>
      <c r="S140" s="26"/>
      <c r="T140" s="164">
        <v>0</v>
      </c>
      <c r="U140" s="27">
        <v>79000</v>
      </c>
    </row>
    <row r="141" spans="2:21" ht="15">
      <c r="B141" s="24">
        <v>1315710920</v>
      </c>
      <c r="C141" s="25" t="str">
        <f t="shared" si="36"/>
        <v>920</v>
      </c>
      <c r="D141" s="25" t="str">
        <f t="shared" si="37"/>
        <v>315710</v>
      </c>
      <c r="E141" s="25" t="s">
        <v>161</v>
      </c>
      <c r="F141" s="26"/>
      <c r="G141" s="26"/>
      <c r="H141" s="26"/>
      <c r="I141" s="26"/>
      <c r="J141" s="26"/>
      <c r="K141" s="26"/>
      <c r="L141" s="26"/>
      <c r="M141" s="26"/>
      <c r="N141" s="26"/>
      <c r="O141" s="44"/>
      <c r="P141" s="26">
        <v>0</v>
      </c>
      <c r="Q141" s="26">
        <v>0</v>
      </c>
      <c r="R141" s="26">
        <v>0</v>
      </c>
      <c r="S141" s="26">
        <v>0</v>
      </c>
      <c r="T141" s="164">
        <v>0</v>
      </c>
      <c r="U141" s="27">
        <v>14000</v>
      </c>
    </row>
    <row r="142" spans="2:21" ht="15">
      <c r="B142" s="24">
        <v>1315711920</v>
      </c>
      <c r="C142" s="25" t="str">
        <f t="shared" si="36"/>
        <v>920</v>
      </c>
      <c r="D142" s="25" t="str">
        <f t="shared" si="37"/>
        <v>315711</v>
      </c>
      <c r="E142" s="25" t="s">
        <v>142</v>
      </c>
      <c r="F142" s="26"/>
      <c r="G142" s="26"/>
      <c r="H142" s="26"/>
      <c r="I142" s="26"/>
      <c r="J142" s="26"/>
      <c r="K142" s="26"/>
      <c r="L142" s="26"/>
      <c r="M142" s="26"/>
      <c r="N142" s="26"/>
      <c r="O142" s="44"/>
      <c r="P142" s="26">
        <v>0</v>
      </c>
      <c r="Q142" s="26">
        <v>0</v>
      </c>
      <c r="R142" s="26">
        <v>0</v>
      </c>
      <c r="S142" s="26">
        <v>0</v>
      </c>
      <c r="T142" s="164">
        <v>0</v>
      </c>
      <c r="U142" s="27">
        <v>7000</v>
      </c>
    </row>
    <row r="143" spans="2:21" ht="15">
      <c r="B143" s="24">
        <v>1315712920</v>
      </c>
      <c r="C143" s="25" t="str">
        <f t="shared" si="36"/>
        <v>920</v>
      </c>
      <c r="D143" s="25" t="str">
        <f t="shared" si="37"/>
        <v>315712</v>
      </c>
      <c r="E143" s="25" t="s">
        <v>162</v>
      </c>
      <c r="F143" s="26"/>
      <c r="G143" s="26"/>
      <c r="H143" s="26"/>
      <c r="I143" s="26"/>
      <c r="J143" s="26"/>
      <c r="K143" s="26"/>
      <c r="L143" s="26"/>
      <c r="M143" s="26"/>
      <c r="N143" s="26"/>
      <c r="O143" s="44"/>
      <c r="P143" s="26">
        <v>0</v>
      </c>
      <c r="Q143" s="26">
        <v>0</v>
      </c>
      <c r="R143" s="26">
        <v>0</v>
      </c>
      <c r="S143" s="26">
        <v>0</v>
      </c>
      <c r="T143" s="164">
        <v>0</v>
      </c>
      <c r="U143" s="27">
        <v>33000</v>
      </c>
    </row>
    <row r="144" spans="2:21" ht="15">
      <c r="B144" s="24">
        <v>1315713920</v>
      </c>
      <c r="C144" s="25" t="str">
        <f t="shared" si="36"/>
        <v>920</v>
      </c>
      <c r="D144" s="25" t="str">
        <f t="shared" si="37"/>
        <v>315713</v>
      </c>
      <c r="E144" s="25" t="s">
        <v>92</v>
      </c>
      <c r="F144" s="26"/>
      <c r="G144" s="26"/>
      <c r="H144" s="26"/>
      <c r="I144" s="26"/>
      <c r="J144" s="26"/>
      <c r="K144" s="26"/>
      <c r="L144" s="26"/>
      <c r="M144" s="26"/>
      <c r="N144" s="26"/>
      <c r="O144" s="44"/>
      <c r="P144" s="26">
        <v>0</v>
      </c>
      <c r="Q144" s="26">
        <v>0</v>
      </c>
      <c r="R144" s="26">
        <v>0</v>
      </c>
      <c r="S144" s="26">
        <v>0</v>
      </c>
      <c r="T144" s="164">
        <v>0</v>
      </c>
      <c r="U144" s="27">
        <v>637000</v>
      </c>
    </row>
    <row r="145" spans="2:21" ht="15">
      <c r="B145" s="24">
        <v>1315721920</v>
      </c>
      <c r="C145" s="25" t="str">
        <f t="shared" si="36"/>
        <v>920</v>
      </c>
      <c r="D145" s="25" t="str">
        <f t="shared" si="37"/>
        <v>315721</v>
      </c>
      <c r="E145" s="25" t="s">
        <v>163</v>
      </c>
      <c r="F145" s="26"/>
      <c r="G145" s="26"/>
      <c r="H145" s="26"/>
      <c r="I145" s="26"/>
      <c r="J145" s="26"/>
      <c r="K145" s="26"/>
      <c r="L145" s="26"/>
      <c r="M145" s="26"/>
      <c r="N145" s="26"/>
      <c r="O145" s="44"/>
      <c r="P145" s="26">
        <v>0</v>
      </c>
      <c r="Q145" s="26">
        <v>0</v>
      </c>
      <c r="R145" s="26">
        <v>0</v>
      </c>
      <c r="S145" s="26">
        <v>0</v>
      </c>
      <c r="T145" s="164">
        <v>0</v>
      </c>
      <c r="U145" s="27">
        <v>175000</v>
      </c>
    </row>
    <row r="146" spans="2:21" ht="15">
      <c r="B146" s="24">
        <v>1315722920</v>
      </c>
      <c r="C146" s="25" t="str">
        <f t="shared" si="36"/>
        <v>920</v>
      </c>
      <c r="D146" s="25" t="str">
        <f t="shared" si="37"/>
        <v>315722</v>
      </c>
      <c r="E146" s="25" t="s">
        <v>164</v>
      </c>
      <c r="F146" s="26"/>
      <c r="G146" s="26"/>
      <c r="H146" s="26"/>
      <c r="I146" s="26"/>
      <c r="J146" s="26"/>
      <c r="K146" s="26"/>
      <c r="L146" s="26"/>
      <c r="M146" s="26"/>
      <c r="N146" s="26"/>
      <c r="O146" s="44"/>
      <c r="P146" s="26">
        <v>0</v>
      </c>
      <c r="Q146" s="26">
        <v>0</v>
      </c>
      <c r="R146" s="26">
        <v>0</v>
      </c>
      <c r="S146" s="26">
        <v>0</v>
      </c>
      <c r="T146" s="164">
        <v>0</v>
      </c>
      <c r="U146" s="27">
        <v>571000</v>
      </c>
    </row>
    <row r="147" spans="2:21" ht="15">
      <c r="B147" s="24">
        <v>1315723920</v>
      </c>
      <c r="C147" s="25" t="str">
        <f t="shared" si="36"/>
        <v>920</v>
      </c>
      <c r="D147" s="25" t="str">
        <f t="shared" si="37"/>
        <v>315723</v>
      </c>
      <c r="E147" s="25" t="s">
        <v>165</v>
      </c>
      <c r="F147" s="26"/>
      <c r="G147" s="26"/>
      <c r="H147" s="26"/>
      <c r="I147" s="26"/>
      <c r="J147" s="26"/>
      <c r="K147" s="26"/>
      <c r="L147" s="26"/>
      <c r="M147" s="26"/>
      <c r="N147" s="26"/>
      <c r="O147" s="44"/>
      <c r="P147" s="26">
        <v>0</v>
      </c>
      <c r="Q147" s="26">
        <v>0</v>
      </c>
      <c r="R147" s="26">
        <v>0</v>
      </c>
      <c r="S147" s="26">
        <v>0</v>
      </c>
      <c r="T147" s="164">
        <v>0</v>
      </c>
      <c r="U147" s="27">
        <v>35000</v>
      </c>
    </row>
    <row r="148" spans="2:21" ht="15">
      <c r="B148" s="24">
        <v>1315724920</v>
      </c>
      <c r="C148" s="25" t="str">
        <f t="shared" si="36"/>
        <v>920</v>
      </c>
      <c r="D148" s="25" t="str">
        <f t="shared" si="37"/>
        <v>315724</v>
      </c>
      <c r="E148" s="25" t="s">
        <v>166</v>
      </c>
      <c r="F148" s="26"/>
      <c r="G148" s="26"/>
      <c r="H148" s="26"/>
      <c r="I148" s="26"/>
      <c r="J148" s="26"/>
      <c r="K148" s="26"/>
      <c r="L148" s="26"/>
      <c r="M148" s="26"/>
      <c r="N148" s="26"/>
      <c r="O148" s="44"/>
      <c r="P148" s="26">
        <v>0</v>
      </c>
      <c r="Q148" s="26">
        <v>0</v>
      </c>
      <c r="R148" s="26">
        <v>0</v>
      </c>
      <c r="S148" s="26">
        <v>0</v>
      </c>
      <c r="T148" s="164">
        <v>0</v>
      </c>
      <c r="U148" s="27">
        <v>5000</v>
      </c>
    </row>
    <row r="149" spans="2:21" ht="15">
      <c r="B149" s="24">
        <v>1315725920</v>
      </c>
      <c r="C149" s="25" t="str">
        <f t="shared" si="36"/>
        <v>920</v>
      </c>
      <c r="D149" s="25" t="str">
        <f t="shared" si="37"/>
        <v>315725</v>
      </c>
      <c r="E149" s="25" t="s">
        <v>167</v>
      </c>
      <c r="F149" s="26"/>
      <c r="G149" s="26"/>
      <c r="H149" s="26"/>
      <c r="I149" s="26"/>
      <c r="J149" s="26"/>
      <c r="K149" s="26"/>
      <c r="L149" s="26"/>
      <c r="M149" s="26"/>
      <c r="N149" s="26"/>
      <c r="O149" s="44"/>
      <c r="P149" s="26">
        <v>0</v>
      </c>
      <c r="Q149" s="26">
        <v>0</v>
      </c>
      <c r="R149" s="26">
        <v>0</v>
      </c>
      <c r="S149" s="26">
        <v>0</v>
      </c>
      <c r="T149" s="164">
        <v>0</v>
      </c>
      <c r="U149" s="27">
        <v>84000</v>
      </c>
    </row>
    <row r="150" spans="2:21" ht="15">
      <c r="B150" s="24">
        <v>1315726920</v>
      </c>
      <c r="C150" s="25" t="str">
        <f t="shared" si="36"/>
        <v>920</v>
      </c>
      <c r="D150" s="25" t="str">
        <f t="shared" si="37"/>
        <v>315726</v>
      </c>
      <c r="E150" s="25" t="s">
        <v>168</v>
      </c>
      <c r="F150" s="26"/>
      <c r="G150" s="26"/>
      <c r="H150" s="26"/>
      <c r="I150" s="26"/>
      <c r="J150" s="26"/>
      <c r="K150" s="26"/>
      <c r="L150" s="26"/>
      <c r="M150" s="26"/>
      <c r="N150" s="26"/>
      <c r="O150" s="44"/>
      <c r="P150" s="26">
        <v>0</v>
      </c>
      <c r="Q150" s="26">
        <v>0</v>
      </c>
      <c r="R150" s="26">
        <v>0</v>
      </c>
      <c r="S150" s="26">
        <v>0</v>
      </c>
      <c r="T150" s="164">
        <v>0</v>
      </c>
      <c r="U150" s="27">
        <v>0</v>
      </c>
    </row>
    <row r="151" spans="2:21" ht="15">
      <c r="B151" s="24">
        <v>1315727920</v>
      </c>
      <c r="C151" s="25" t="str">
        <f t="shared" si="36"/>
        <v>920</v>
      </c>
      <c r="D151" s="25" t="str">
        <f t="shared" si="37"/>
        <v>315727</v>
      </c>
      <c r="E151" s="25" t="s">
        <v>169</v>
      </c>
      <c r="F151" s="26"/>
      <c r="G151" s="26"/>
      <c r="H151" s="26"/>
      <c r="I151" s="26"/>
      <c r="J151" s="26"/>
      <c r="K151" s="26"/>
      <c r="L151" s="26"/>
      <c r="M151" s="26"/>
      <c r="N151" s="26"/>
      <c r="O151" s="44"/>
      <c r="P151" s="26">
        <v>0</v>
      </c>
      <c r="Q151" s="26">
        <v>0</v>
      </c>
      <c r="R151" s="26">
        <v>0</v>
      </c>
      <c r="S151" s="26">
        <v>0</v>
      </c>
      <c r="T151" s="164">
        <v>0</v>
      </c>
      <c r="U151" s="27">
        <v>700000</v>
      </c>
    </row>
    <row r="152" spans="2:21" ht="15">
      <c r="B152" s="24">
        <v>1315730920</v>
      </c>
      <c r="C152" s="25" t="str">
        <f t="shared" si="36"/>
        <v>920</v>
      </c>
      <c r="D152" s="25" t="str">
        <f t="shared" si="37"/>
        <v>315730</v>
      </c>
      <c r="E152" s="25" t="s">
        <v>170</v>
      </c>
      <c r="F152" s="26"/>
      <c r="G152" s="26"/>
      <c r="H152" s="26"/>
      <c r="I152" s="26"/>
      <c r="J152" s="26"/>
      <c r="K152" s="26"/>
      <c r="L152" s="26"/>
      <c r="M152" s="26"/>
      <c r="N152" s="26"/>
      <c r="O152" s="44"/>
      <c r="P152" s="26">
        <v>0</v>
      </c>
      <c r="Q152" s="26">
        <v>0</v>
      </c>
      <c r="R152" s="26">
        <v>0</v>
      </c>
      <c r="S152" s="26">
        <v>0</v>
      </c>
      <c r="T152" s="164">
        <v>0</v>
      </c>
      <c r="U152" s="27">
        <v>7500</v>
      </c>
    </row>
    <row r="153" spans="2:21" ht="15">
      <c r="B153" s="24">
        <v>1315731920</v>
      </c>
      <c r="C153" s="25" t="str">
        <f t="shared" si="36"/>
        <v>920</v>
      </c>
      <c r="D153" s="25" t="str">
        <f t="shared" si="37"/>
        <v>315731</v>
      </c>
      <c r="E153" s="25" t="s">
        <v>171</v>
      </c>
      <c r="F153" s="26"/>
      <c r="G153" s="26"/>
      <c r="H153" s="26"/>
      <c r="I153" s="26"/>
      <c r="J153" s="26"/>
      <c r="K153" s="26"/>
      <c r="L153" s="26"/>
      <c r="M153" s="26"/>
      <c r="N153" s="26"/>
      <c r="O153" s="44"/>
      <c r="P153" s="26">
        <v>0</v>
      </c>
      <c r="Q153" s="26">
        <v>0</v>
      </c>
      <c r="R153" s="26">
        <v>0</v>
      </c>
      <c r="S153" s="26">
        <v>0</v>
      </c>
      <c r="T153" s="164">
        <v>0</v>
      </c>
      <c r="U153" s="27">
        <v>513000</v>
      </c>
    </row>
    <row r="154" spans="2:21" ht="15">
      <c r="B154" s="24">
        <v>1315732920</v>
      </c>
      <c r="C154" s="25" t="str">
        <f t="shared" si="36"/>
        <v>920</v>
      </c>
      <c r="D154" s="25" t="str">
        <f t="shared" si="37"/>
        <v>315732</v>
      </c>
      <c r="E154" s="25" t="s">
        <v>172</v>
      </c>
      <c r="F154" s="26"/>
      <c r="G154" s="26"/>
      <c r="H154" s="26"/>
      <c r="I154" s="26"/>
      <c r="J154" s="26"/>
      <c r="K154" s="26"/>
      <c r="L154" s="26"/>
      <c r="M154" s="26"/>
      <c r="N154" s="26"/>
      <c r="O154" s="44"/>
      <c r="P154" s="26">
        <v>0</v>
      </c>
      <c r="Q154" s="26">
        <v>0</v>
      </c>
      <c r="R154" s="26">
        <v>0</v>
      </c>
      <c r="S154" s="26">
        <v>0</v>
      </c>
      <c r="T154" s="164">
        <v>0</v>
      </c>
      <c r="U154" s="27">
        <v>357000</v>
      </c>
    </row>
    <row r="155" spans="2:21" ht="15">
      <c r="B155" s="24">
        <v>1315734920</v>
      </c>
      <c r="C155" s="25" t="str">
        <f t="shared" si="36"/>
        <v>920</v>
      </c>
      <c r="D155" s="25" t="str">
        <f t="shared" si="37"/>
        <v>315734</v>
      </c>
      <c r="E155" s="25" t="s">
        <v>173</v>
      </c>
      <c r="F155" s="26"/>
      <c r="G155" s="26"/>
      <c r="H155" s="26"/>
      <c r="I155" s="26"/>
      <c r="J155" s="26"/>
      <c r="K155" s="26"/>
      <c r="L155" s="26"/>
      <c r="M155" s="26"/>
      <c r="N155" s="26"/>
      <c r="O155" s="44"/>
      <c r="P155" s="26">
        <v>0</v>
      </c>
      <c r="Q155" s="26">
        <v>0</v>
      </c>
      <c r="R155" s="26">
        <v>0</v>
      </c>
      <c r="S155" s="26">
        <v>0</v>
      </c>
      <c r="T155" s="164">
        <v>0</v>
      </c>
      <c r="U155" s="27">
        <v>131000</v>
      </c>
    </row>
    <row r="156" spans="2:21" ht="15">
      <c r="B156" s="24">
        <v>1315735920</v>
      </c>
      <c r="C156" s="25" t="str">
        <f t="shared" si="36"/>
        <v>920</v>
      </c>
      <c r="D156" s="25" t="str">
        <f t="shared" si="37"/>
        <v>315735</v>
      </c>
      <c r="E156" s="64" t="s">
        <v>174</v>
      </c>
      <c r="F156" s="65"/>
      <c r="G156" s="65"/>
      <c r="H156" s="65"/>
      <c r="I156" s="65"/>
      <c r="J156" s="65"/>
      <c r="K156" s="65"/>
      <c r="L156" s="65"/>
      <c r="M156" s="65"/>
      <c r="N156" s="65"/>
      <c r="O156" s="44"/>
      <c r="P156" s="65">
        <v>0</v>
      </c>
      <c r="Q156" s="65">
        <v>0</v>
      </c>
      <c r="R156" s="65">
        <v>0</v>
      </c>
      <c r="S156" s="65">
        <v>0</v>
      </c>
      <c r="T156" s="164">
        <v>0</v>
      </c>
      <c r="U156" s="54">
        <v>1614000</v>
      </c>
    </row>
    <row r="157" spans="2:21" ht="15">
      <c r="B157" s="24">
        <v>1315740920</v>
      </c>
      <c r="C157" s="25" t="str">
        <f t="shared" si="36"/>
        <v>920</v>
      </c>
      <c r="D157" s="25" t="str">
        <f t="shared" si="37"/>
        <v>315740</v>
      </c>
      <c r="E157" s="64" t="s">
        <v>175</v>
      </c>
      <c r="F157" s="65"/>
      <c r="G157" s="65"/>
      <c r="H157" s="65"/>
      <c r="I157" s="65"/>
      <c r="J157" s="65"/>
      <c r="K157" s="65"/>
      <c r="L157" s="65"/>
      <c r="M157" s="65"/>
      <c r="N157" s="65"/>
      <c r="O157" s="44"/>
      <c r="P157" s="65">
        <v>0</v>
      </c>
      <c r="Q157" s="65">
        <v>0</v>
      </c>
      <c r="R157" s="65">
        <v>0</v>
      </c>
      <c r="S157" s="65">
        <v>0</v>
      </c>
      <c r="T157" s="164">
        <v>0</v>
      </c>
      <c r="U157" s="54">
        <v>194000</v>
      </c>
    </row>
    <row r="158" spans="2:21" ht="15">
      <c r="B158" s="24">
        <v>1315741920</v>
      </c>
      <c r="C158" s="25" t="str">
        <f t="shared" si="36"/>
        <v>920</v>
      </c>
      <c r="D158" s="25" t="str">
        <f t="shared" si="37"/>
        <v>315741</v>
      </c>
      <c r="E158" s="64" t="s">
        <v>176</v>
      </c>
      <c r="F158" s="65"/>
      <c r="G158" s="65"/>
      <c r="H158" s="65"/>
      <c r="I158" s="65"/>
      <c r="J158" s="65"/>
      <c r="K158" s="65"/>
      <c r="L158" s="65"/>
      <c r="M158" s="65"/>
      <c r="N158" s="65"/>
      <c r="O158" s="44"/>
      <c r="P158" s="65">
        <v>0</v>
      </c>
      <c r="Q158" s="65">
        <v>0</v>
      </c>
      <c r="R158" s="65">
        <v>0</v>
      </c>
      <c r="S158" s="65">
        <v>0</v>
      </c>
      <c r="T158" s="164">
        <v>0</v>
      </c>
      <c r="U158" s="54">
        <v>957000</v>
      </c>
    </row>
    <row r="159" spans="2:21" ht="15">
      <c r="B159" s="24">
        <v>1315750920</v>
      </c>
      <c r="C159" s="25" t="str">
        <f t="shared" si="36"/>
        <v>920</v>
      </c>
      <c r="D159" s="25" t="str">
        <f t="shared" si="37"/>
        <v>315750</v>
      </c>
      <c r="E159" s="64" t="s">
        <v>177</v>
      </c>
      <c r="F159" s="65"/>
      <c r="G159" s="65"/>
      <c r="H159" s="65"/>
      <c r="I159" s="65"/>
      <c r="J159" s="65"/>
      <c r="K159" s="65"/>
      <c r="L159" s="65"/>
      <c r="M159" s="65"/>
      <c r="N159" s="65"/>
      <c r="O159" s="44"/>
      <c r="P159" s="65">
        <v>0</v>
      </c>
      <c r="Q159" s="65">
        <v>0</v>
      </c>
      <c r="R159" s="65">
        <v>0</v>
      </c>
      <c r="S159" s="65">
        <v>0</v>
      </c>
      <c r="T159" s="164">
        <v>0</v>
      </c>
      <c r="U159" s="54">
        <v>66000</v>
      </c>
    </row>
    <row r="160" spans="2:21" ht="15">
      <c r="B160" s="24">
        <v>1315751920</v>
      </c>
      <c r="C160" s="25" t="str">
        <f t="shared" si="36"/>
        <v>920</v>
      </c>
      <c r="D160" s="25" t="str">
        <f t="shared" si="37"/>
        <v>315751</v>
      </c>
      <c r="E160" s="64" t="s">
        <v>178</v>
      </c>
      <c r="F160" s="65"/>
      <c r="G160" s="65"/>
      <c r="H160" s="65"/>
      <c r="I160" s="65"/>
      <c r="J160" s="65"/>
      <c r="K160" s="65"/>
      <c r="L160" s="65"/>
      <c r="M160" s="65"/>
      <c r="N160" s="65"/>
      <c r="O160" s="44"/>
      <c r="P160" s="65">
        <v>0</v>
      </c>
      <c r="Q160" s="65">
        <v>0</v>
      </c>
      <c r="R160" s="65">
        <v>0</v>
      </c>
      <c r="S160" s="65">
        <v>0</v>
      </c>
      <c r="T160" s="164">
        <v>0</v>
      </c>
      <c r="U160" s="54">
        <v>1500000</v>
      </c>
    </row>
    <row r="161" spans="2:21" ht="15">
      <c r="B161" s="24">
        <v>1315752920</v>
      </c>
      <c r="C161" s="25" t="str">
        <f t="shared" si="36"/>
        <v>920</v>
      </c>
      <c r="D161" s="25" t="str">
        <f t="shared" si="37"/>
        <v>315752</v>
      </c>
      <c r="E161" s="25" t="s">
        <v>179</v>
      </c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>
        <v>0</v>
      </c>
      <c r="Q161" s="26">
        <v>0</v>
      </c>
      <c r="R161" s="26">
        <v>0</v>
      </c>
      <c r="S161" s="26">
        <v>0</v>
      </c>
      <c r="T161" s="164">
        <v>0</v>
      </c>
      <c r="U161" s="27">
        <v>71000</v>
      </c>
    </row>
    <row r="162" spans="2:21" ht="15">
      <c r="B162" s="24">
        <v>1315753920</v>
      </c>
      <c r="C162" s="25" t="str">
        <f t="shared" si="36"/>
        <v>920</v>
      </c>
      <c r="D162" s="25" t="str">
        <f t="shared" si="37"/>
        <v>315753</v>
      </c>
      <c r="E162" s="25" t="s">
        <v>180</v>
      </c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>
        <v>0</v>
      </c>
      <c r="Q162" s="26">
        <v>0</v>
      </c>
      <c r="R162" s="26">
        <v>0</v>
      </c>
      <c r="S162" s="26">
        <v>0</v>
      </c>
      <c r="T162" s="164">
        <v>0</v>
      </c>
      <c r="U162" s="27">
        <v>21000</v>
      </c>
    </row>
    <row r="163" spans="2:21" ht="15">
      <c r="B163" s="24">
        <v>1315754920</v>
      </c>
      <c r="C163" s="25" t="str">
        <f t="shared" si="36"/>
        <v>920</v>
      </c>
      <c r="D163" s="25" t="str">
        <f t="shared" si="37"/>
        <v>315754</v>
      </c>
      <c r="E163" s="25" t="s">
        <v>181</v>
      </c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>
        <v>0</v>
      </c>
      <c r="Q163" s="26">
        <v>0</v>
      </c>
      <c r="R163" s="26">
        <v>0</v>
      </c>
      <c r="S163" s="26">
        <v>0</v>
      </c>
      <c r="T163" s="164">
        <v>0</v>
      </c>
      <c r="U163" s="27">
        <v>177000</v>
      </c>
    </row>
    <row r="164" spans="2:21" ht="15">
      <c r="B164" s="24">
        <v>1315755920</v>
      </c>
      <c r="C164" s="25" t="str">
        <f t="shared" si="36"/>
        <v>920</v>
      </c>
      <c r="D164" s="25" t="str">
        <f t="shared" si="37"/>
        <v>315755</v>
      </c>
      <c r="E164" s="25" t="s">
        <v>182</v>
      </c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>
        <v>0</v>
      </c>
      <c r="Q164" s="26">
        <v>0</v>
      </c>
      <c r="R164" s="26">
        <v>0</v>
      </c>
      <c r="S164" s="26">
        <v>0</v>
      </c>
      <c r="T164" s="164">
        <v>0</v>
      </c>
      <c r="U164" s="27">
        <v>4500</v>
      </c>
    </row>
    <row r="165" spans="2:21" ht="15">
      <c r="B165" s="24">
        <v>1315756920</v>
      </c>
      <c r="C165" s="25" t="str">
        <f t="shared" si="36"/>
        <v>920</v>
      </c>
      <c r="D165" s="25" t="str">
        <f t="shared" si="37"/>
        <v>315756</v>
      </c>
      <c r="E165" s="25" t="s">
        <v>183</v>
      </c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>
        <v>0</v>
      </c>
      <c r="Q165" s="26">
        <v>0</v>
      </c>
      <c r="R165" s="26">
        <v>0</v>
      </c>
      <c r="S165" s="26">
        <v>0</v>
      </c>
      <c r="T165" s="164">
        <v>0</v>
      </c>
      <c r="U165" s="27">
        <v>176000</v>
      </c>
    </row>
    <row r="166" spans="2:21" ht="15">
      <c r="B166" s="28"/>
      <c r="C166" s="29"/>
      <c r="D166" s="29"/>
      <c r="E166" s="29" t="s">
        <v>184</v>
      </c>
      <c r="F166" s="30">
        <f t="shared" ref="F166:O166" si="42">SUM(F121:F134)</f>
        <v>7412000</v>
      </c>
      <c r="G166" s="30">
        <f t="shared" si="42"/>
        <v>6186597.2800000003</v>
      </c>
      <c r="H166" s="30">
        <f t="shared" si="42"/>
        <v>7423916.7359999996</v>
      </c>
      <c r="I166" s="30">
        <f t="shared" si="42"/>
        <v>7423916.7359999996</v>
      </c>
      <c r="J166" s="30" t="e">
        <f t="shared" si="42"/>
        <v>#REF!</v>
      </c>
      <c r="K166" s="30" t="e">
        <f t="shared" si="42"/>
        <v>#REF!</v>
      </c>
      <c r="L166" s="30">
        <f t="shared" si="42"/>
        <v>7562510</v>
      </c>
      <c r="M166" s="30">
        <f t="shared" si="42"/>
        <v>7962600</v>
      </c>
      <c r="N166" s="30">
        <f t="shared" si="42"/>
        <v>8955500</v>
      </c>
      <c r="O166" s="30" t="e">
        <f t="shared" si="42"/>
        <v>#N/A</v>
      </c>
      <c r="P166" s="30">
        <f t="shared" ref="P166:S166" si="43">SUM(P119:P165)</f>
        <v>4791000</v>
      </c>
      <c r="Q166" s="30">
        <f t="shared" si="43"/>
        <v>6022889.8200000003</v>
      </c>
      <c r="R166" s="30">
        <f t="shared" si="43"/>
        <v>7525000</v>
      </c>
      <c r="S166" s="30">
        <f t="shared" si="43"/>
        <v>7227467.784</v>
      </c>
      <c r="T166" s="31">
        <f>SUM(T119:T165)</f>
        <v>7525000</v>
      </c>
      <c r="U166" s="31">
        <f>SUM(U119:U165)</f>
        <v>17701000</v>
      </c>
    </row>
    <row r="167" spans="2:21" ht="15">
      <c r="B167" s="24">
        <v>1317100920</v>
      </c>
      <c r="C167" s="25" t="str">
        <f t="shared" ref="C167:C224" si="44">MID(B167,8,3)</f>
        <v>920</v>
      </c>
      <c r="D167" s="25" t="str">
        <f t="shared" ref="D167:D224" si="45">MID(B167,2,6)</f>
        <v>317100</v>
      </c>
      <c r="E167" s="25" t="s">
        <v>185</v>
      </c>
      <c r="F167" s="26">
        <v>287000</v>
      </c>
      <c r="G167" s="26">
        <v>239367.16</v>
      </c>
      <c r="H167" s="26">
        <f>G167*12/10</f>
        <v>287240.592</v>
      </c>
      <c r="I167" s="26">
        <f>H167</f>
        <v>287240.592</v>
      </c>
      <c r="J167" s="26" t="e">
        <f>VLOOKUP(B167,#REF!,6,0)</f>
        <v>#REF!</v>
      </c>
      <c r="K167" s="26" t="e">
        <f>+J167*1.71428571428571</f>
        <v>#REF!</v>
      </c>
      <c r="L167" s="26">
        <v>290000</v>
      </c>
      <c r="M167" s="26">
        <v>290500</v>
      </c>
      <c r="N167" s="26">
        <v>290500</v>
      </c>
      <c r="O167" s="44" t="e">
        <f>VLOOKUP(B167,[3]כספי!$A$1:$E$324,5,0)</f>
        <v>#N/A</v>
      </c>
      <c r="P167" s="26">
        <f>VLOOKUP(B:B,'[3]תקבולים 2017'!B:R,15,0)</f>
        <v>50000</v>
      </c>
      <c r="Q167" s="26">
        <f>-VLOOKUP(B:B,'[3]דוח כספי 10.17 מעודכן'!A:D,4,0)</f>
        <v>408013.84</v>
      </c>
      <c r="R167" s="26">
        <f>VLOOKUP(B:B,'[3]תקבולים 2017'!B:T,17,0)</f>
        <v>50000</v>
      </c>
      <c r="S167" s="26">
        <f>Q167/10*12</f>
        <v>489616.60800000007</v>
      </c>
      <c r="T167" s="164">
        <f>VLOOKUP(B167,'תקבולים 2017'!$A$2:$Q$248,17,0)</f>
        <v>50000</v>
      </c>
      <c r="U167" s="27">
        <v>51000</v>
      </c>
    </row>
    <row r="168" spans="2:21" ht="15">
      <c r="B168" s="24">
        <v>1317200920</v>
      </c>
      <c r="C168" s="25" t="str">
        <f t="shared" si="44"/>
        <v>920</v>
      </c>
      <c r="D168" s="25" t="str">
        <f t="shared" si="45"/>
        <v>317200</v>
      </c>
      <c r="E168" s="25" t="s">
        <v>187</v>
      </c>
      <c r="F168" s="26">
        <v>127000</v>
      </c>
      <c r="G168" s="26">
        <v>105052.12</v>
      </c>
      <c r="H168" s="26">
        <f>G168*12/10</f>
        <v>126062.54399999999</v>
      </c>
      <c r="I168" s="26">
        <f>H168</f>
        <v>126062.54399999999</v>
      </c>
      <c r="J168" s="26" t="e">
        <f>VLOOKUP(B168,#REF!,6,0)</f>
        <v>#REF!</v>
      </c>
      <c r="K168" s="26" t="e">
        <f>+J168*1.71428571428571</f>
        <v>#REF!</v>
      </c>
      <c r="L168" s="26">
        <v>126000</v>
      </c>
      <c r="M168" s="26">
        <v>128000</v>
      </c>
      <c r="N168" s="26">
        <v>128000</v>
      </c>
      <c r="O168" s="26" t="e">
        <f>VLOOKUP(B168,[3]כספי!$A$1:$E$324,5,0)</f>
        <v>#N/A</v>
      </c>
      <c r="P168" s="26">
        <f>VLOOKUP(B:B,'[3]תקבולים 2017'!B:R,15,0)</f>
        <v>0</v>
      </c>
      <c r="Q168" s="26">
        <f>-VLOOKUP(B:B,'[3]דוח כספי 10.17 מעודכן'!A:D,4,0)</f>
        <v>0</v>
      </c>
      <c r="R168" s="26">
        <f>VLOOKUP(B:B,'[3]תקבולים 2017'!B:T,17,0)</f>
        <v>0</v>
      </c>
      <c r="S168" s="26">
        <f>Q168/10*12</f>
        <v>0</v>
      </c>
      <c r="T168" s="164">
        <f>VLOOKUP(B168,'תקבולים 2017'!$A$2:$Q$248,17,0)</f>
        <v>0</v>
      </c>
      <c r="U168" s="27">
        <v>0</v>
      </c>
    </row>
    <row r="169" spans="2:21" ht="15">
      <c r="B169" s="24">
        <v>1317300920</v>
      </c>
      <c r="C169" s="25" t="str">
        <f t="shared" si="44"/>
        <v>920</v>
      </c>
      <c r="D169" s="25" t="str">
        <f t="shared" si="45"/>
        <v>317300</v>
      </c>
      <c r="E169" s="25" t="s">
        <v>188</v>
      </c>
      <c r="F169" s="26"/>
      <c r="G169" s="26"/>
      <c r="H169" s="26"/>
      <c r="I169" s="26"/>
      <c r="J169" s="26"/>
      <c r="K169" s="26"/>
      <c r="L169" s="26"/>
      <c r="M169" s="26"/>
      <c r="N169" s="26"/>
      <c r="O169" s="26">
        <f>VLOOKUP(B169,[3]כספי!$A$1:$E$324,5,0)</f>
        <v>202673.78</v>
      </c>
      <c r="P169" s="26">
        <f>VLOOKUP(B:B,'[3]תקבולים 2017'!B:R,15,0)</f>
        <v>0</v>
      </c>
      <c r="Q169" s="26">
        <f>-VLOOKUP(B:B,'[3]דוח כספי 10.17 מעודכן'!A:D,4,0)</f>
        <v>0</v>
      </c>
      <c r="R169" s="26">
        <f>VLOOKUP(B:B,'[3]תקבולים 2017'!B:T,17,0)</f>
        <v>0</v>
      </c>
      <c r="S169" s="26">
        <f>Q169/10*12</f>
        <v>0</v>
      </c>
      <c r="T169" s="164">
        <f>VLOOKUP(B169,'תקבולים 2017'!$A$2:$Q$248,17,0)</f>
        <v>0</v>
      </c>
      <c r="U169" s="27">
        <v>0</v>
      </c>
    </row>
    <row r="170" spans="2:21" ht="15">
      <c r="B170" s="24">
        <v>1317310920</v>
      </c>
      <c r="C170" s="25" t="str">
        <f t="shared" si="44"/>
        <v>920</v>
      </c>
      <c r="D170" s="25" t="str">
        <f t="shared" si="45"/>
        <v>317310</v>
      </c>
      <c r="E170" s="25" t="s">
        <v>189</v>
      </c>
      <c r="F170" s="26"/>
      <c r="G170" s="26"/>
      <c r="H170" s="26"/>
      <c r="I170" s="26"/>
      <c r="J170" s="26"/>
      <c r="K170" s="26"/>
      <c r="L170" s="26"/>
      <c r="M170" s="26"/>
      <c r="N170" s="26"/>
      <c r="O170" s="44"/>
      <c r="P170" s="26">
        <v>0</v>
      </c>
      <c r="Q170" s="26">
        <v>0</v>
      </c>
      <c r="R170" s="26">
        <v>0</v>
      </c>
      <c r="S170" s="26">
        <v>0</v>
      </c>
      <c r="T170" s="164">
        <v>0</v>
      </c>
      <c r="U170" s="27">
        <v>455000</v>
      </c>
    </row>
    <row r="171" spans="2:21" ht="15">
      <c r="B171" s="24">
        <v>1317320920</v>
      </c>
      <c r="C171" s="25" t="str">
        <f t="shared" si="44"/>
        <v>920</v>
      </c>
      <c r="D171" s="25" t="str">
        <f t="shared" si="45"/>
        <v>317320</v>
      </c>
      <c r="E171" s="25" t="s">
        <v>190</v>
      </c>
      <c r="F171" s="26"/>
      <c r="G171" s="26"/>
      <c r="H171" s="26"/>
      <c r="I171" s="26"/>
      <c r="J171" s="26"/>
      <c r="K171" s="26"/>
      <c r="L171" s="26"/>
      <c r="M171" s="26"/>
      <c r="N171" s="26"/>
      <c r="O171" s="44"/>
      <c r="P171" s="26">
        <v>0</v>
      </c>
      <c r="Q171" s="26">
        <v>0</v>
      </c>
      <c r="R171" s="26">
        <v>0</v>
      </c>
      <c r="S171" s="26">
        <v>0</v>
      </c>
      <c r="T171" s="164">
        <v>0</v>
      </c>
      <c r="U171" s="27">
        <v>211000</v>
      </c>
    </row>
    <row r="172" spans="2:21" ht="15">
      <c r="B172" s="24">
        <v>1317400920</v>
      </c>
      <c r="C172" s="25" t="str">
        <f t="shared" si="44"/>
        <v>920</v>
      </c>
      <c r="D172" s="25" t="str">
        <f t="shared" si="45"/>
        <v>317400</v>
      </c>
      <c r="E172" s="25" t="s">
        <v>191</v>
      </c>
      <c r="F172" s="26">
        <v>121000</v>
      </c>
      <c r="G172" s="26">
        <v>535505.31999999995</v>
      </c>
      <c r="H172" s="26">
        <f>G172*12/10</f>
        <v>642606.38399999996</v>
      </c>
      <c r="I172" s="26">
        <v>600000</v>
      </c>
      <c r="J172" s="26" t="e">
        <f>VLOOKUP(B172,#REF!,6,0)</f>
        <v>#REF!</v>
      </c>
      <c r="K172" s="26" t="e">
        <f>+J172*1.71428571428571</f>
        <v>#REF!</v>
      </c>
      <c r="L172" s="26">
        <v>600000</v>
      </c>
      <c r="M172" s="26">
        <v>470000</v>
      </c>
      <c r="N172" s="26">
        <v>500000</v>
      </c>
      <c r="O172" s="26" t="e">
        <f>VLOOKUP(B172,[3]כספי!$A$1:$E$324,5,0)</f>
        <v>#N/A</v>
      </c>
      <c r="P172" s="26">
        <f>VLOOKUP(B:B,'[3]תקבולים 2017'!B:R,15,0)</f>
        <v>113000</v>
      </c>
      <c r="Q172" s="26">
        <f>-VLOOKUP(B:B,'[3]דוח כספי 10.17 מעודכן'!A:D,4,0)</f>
        <v>29564.38</v>
      </c>
      <c r="R172" s="26">
        <f>VLOOKUP(B:B,'[3]תקבולים 2017'!B:T,17,0)</f>
        <v>36000</v>
      </c>
      <c r="S172" s="26">
        <f t="shared" ref="S172:S193" si="46">Q172/10*12</f>
        <v>35477.256000000001</v>
      </c>
      <c r="T172" s="164">
        <f>VLOOKUP(B172,'תקבולים 2017'!$A$2:$Q$248,17,0)</f>
        <v>36000</v>
      </c>
      <c r="U172" s="27">
        <v>36000</v>
      </c>
    </row>
    <row r="173" spans="2:21" ht="15">
      <c r="B173" s="18">
        <v>1317500220</v>
      </c>
      <c r="C173" s="19" t="str">
        <f t="shared" si="44"/>
        <v>220</v>
      </c>
      <c r="D173" s="19" t="str">
        <f t="shared" si="45"/>
        <v>317500</v>
      </c>
      <c r="E173" s="19" t="s">
        <v>192</v>
      </c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>
        <f>VLOOKUP(B:B,'[3]תקבולים 2017'!B:R,15,0)</f>
        <v>0</v>
      </c>
      <c r="Q173" s="20">
        <f>-VLOOKUP(B:B,'[3]דוח כספי 10.17 מעודכן'!A:D,4,0)</f>
        <v>0</v>
      </c>
      <c r="R173" s="20">
        <f>VLOOKUP(B:B,'[3]תקבולים 2017'!B:T,17,0)</f>
        <v>0</v>
      </c>
      <c r="S173" s="20">
        <f t="shared" si="46"/>
        <v>0</v>
      </c>
      <c r="T173" s="164">
        <f>VLOOKUP(B173,'תקבולים 2017'!$A$2:$Q$248,17,0)</f>
        <v>0</v>
      </c>
      <c r="U173" s="21">
        <v>0</v>
      </c>
    </row>
    <row r="174" spans="2:21" ht="15">
      <c r="B174" s="24">
        <v>1317500920</v>
      </c>
      <c r="C174" s="25" t="str">
        <f t="shared" si="44"/>
        <v>920</v>
      </c>
      <c r="D174" s="25" t="str">
        <f t="shared" si="45"/>
        <v>317500</v>
      </c>
      <c r="E174" s="25" t="s">
        <v>193</v>
      </c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>
        <f>VLOOKUP(B:B,'[3]תקבולים 2017'!B:R,15,0)</f>
        <v>1610000</v>
      </c>
      <c r="Q174" s="26">
        <f>-VLOOKUP(B:B,'[3]דוח כספי 10.17 מעודכן'!A:D,4,0)</f>
        <v>1383033.06</v>
      </c>
      <c r="R174" s="26">
        <f>VLOOKUP(B:B,'[3]תקבולים 2017'!B:T,17,0)</f>
        <v>1660000</v>
      </c>
      <c r="S174" s="26">
        <f t="shared" si="46"/>
        <v>1659639.6720000003</v>
      </c>
      <c r="T174" s="164">
        <f>VLOOKUP(B174,'תקבולים 2017'!$A$2:$Q$248,17,0)</f>
        <v>1660000</v>
      </c>
      <c r="U174" s="27">
        <v>0</v>
      </c>
    </row>
    <row r="175" spans="2:21" ht="15">
      <c r="B175" s="24">
        <v>1317510920</v>
      </c>
      <c r="C175" s="25" t="str">
        <f t="shared" si="44"/>
        <v>920</v>
      </c>
      <c r="D175" s="25" t="str">
        <f t="shared" si="45"/>
        <v>317510</v>
      </c>
      <c r="E175" s="25" t="s">
        <v>153</v>
      </c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>
        <f>VLOOKUP(B:B,'[3]תקבולים 2017'!B:R,15,0)</f>
        <v>250000</v>
      </c>
      <c r="Q175" s="26">
        <f>-VLOOKUP(B:B,'[3]דוח כספי 10.17 מעודכן'!A:D,4,0)</f>
        <v>192273.34</v>
      </c>
      <c r="R175" s="26">
        <f>VLOOKUP(B:B,'[3]תקבולים 2017'!B:T,17,0)</f>
        <v>231000</v>
      </c>
      <c r="S175" s="26">
        <f t="shared" si="46"/>
        <v>230728.00799999997</v>
      </c>
      <c r="T175" s="164">
        <f>VLOOKUP(B175,'תקבולים 2017'!$A$2:$Q$248,17,0)</f>
        <v>231000</v>
      </c>
      <c r="U175" s="27">
        <v>0</v>
      </c>
    </row>
    <row r="176" spans="2:21" ht="15">
      <c r="B176" s="24">
        <v>1317520920</v>
      </c>
      <c r="C176" s="25" t="str">
        <f t="shared" si="44"/>
        <v>920</v>
      </c>
      <c r="D176" s="25" t="str">
        <f t="shared" si="45"/>
        <v>317520</v>
      </c>
      <c r="E176" s="25" t="s">
        <v>195</v>
      </c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>
        <f>VLOOKUP(B:B,'[3]תקבולים 2017'!B:R,15,0)</f>
        <v>0</v>
      </c>
      <c r="Q176" s="26">
        <f>-VLOOKUP(B:B,'[3]דוח כספי 10.17 מעודכן'!A:D,4,0)</f>
        <v>0</v>
      </c>
      <c r="R176" s="26">
        <f>VLOOKUP(B:B,'[3]תקבולים 2017'!B:T,17,0)</f>
        <v>0</v>
      </c>
      <c r="S176" s="26">
        <f t="shared" si="46"/>
        <v>0</v>
      </c>
      <c r="T176" s="164">
        <f>VLOOKUP(B176,'תקבולים 2017'!$A$2:$Q$248,17,0)</f>
        <v>0</v>
      </c>
      <c r="U176" s="27">
        <v>0</v>
      </c>
    </row>
    <row r="177" spans="2:21" ht="15">
      <c r="B177" s="24">
        <v>1317530920</v>
      </c>
      <c r="C177" s="25" t="str">
        <f t="shared" si="44"/>
        <v>920</v>
      </c>
      <c r="D177" s="25" t="str">
        <f t="shared" si="45"/>
        <v>317530</v>
      </c>
      <c r="E177" s="25" t="s">
        <v>196</v>
      </c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>
        <f>VLOOKUP(B:B,'[3]תקבולים 2017'!B:R,15,0)</f>
        <v>583000</v>
      </c>
      <c r="Q177" s="26">
        <f>-VLOOKUP(B:B,'[3]דוח כספי 10.17 מעודכן'!A:D,4,0)</f>
        <v>475235.83</v>
      </c>
      <c r="R177" s="26">
        <f>VLOOKUP(B:B,'[3]תקבולים 2017'!B:T,17,0)</f>
        <v>570000</v>
      </c>
      <c r="S177" s="26">
        <f t="shared" si="46"/>
        <v>570282.99600000004</v>
      </c>
      <c r="T177" s="164">
        <f>VLOOKUP(B177,'תקבולים 2017'!$A$2:$Q$248,17,0)</f>
        <v>570000</v>
      </c>
      <c r="U177" s="27">
        <v>0</v>
      </c>
    </row>
    <row r="178" spans="2:21" ht="15">
      <c r="B178" s="24">
        <v>1317561920</v>
      </c>
      <c r="C178" s="25" t="str">
        <f t="shared" si="44"/>
        <v>920</v>
      </c>
      <c r="D178" s="25" t="str">
        <f t="shared" si="45"/>
        <v>317561</v>
      </c>
      <c r="E178" s="25" t="s">
        <v>163</v>
      </c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>
        <f>VLOOKUP(B:B,'[3]תקבולים 2017'!B:R,15,0)</f>
        <v>181000</v>
      </c>
      <c r="Q178" s="26">
        <f>-VLOOKUP(B:B,'[3]דוח כספי 10.17 מעודכן'!A:D,4,0)</f>
        <v>145635.66</v>
      </c>
      <c r="R178" s="26">
        <f>VLOOKUP(B:B,'[3]תקבולים 2017'!B:T,17,0)</f>
        <v>175000</v>
      </c>
      <c r="S178" s="26">
        <f t="shared" si="46"/>
        <v>174762.79200000002</v>
      </c>
      <c r="T178" s="164">
        <f>VLOOKUP(B178,'תקבולים 2017'!$A$2:$Q$248,17,0)</f>
        <v>175000</v>
      </c>
      <c r="U178" s="27">
        <v>0</v>
      </c>
    </row>
    <row r="179" spans="2:21" ht="15">
      <c r="B179" s="24">
        <v>1317565920</v>
      </c>
      <c r="C179" s="25" t="str">
        <f t="shared" si="44"/>
        <v>920</v>
      </c>
      <c r="D179" s="25" t="str">
        <f t="shared" si="45"/>
        <v>317565</v>
      </c>
      <c r="E179" s="25" t="s">
        <v>177</v>
      </c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>
        <f>VLOOKUP(B:B,'[3]תקבולים 2017'!B:R,15,0)</f>
        <v>30000</v>
      </c>
      <c r="Q179" s="26">
        <f>-VLOOKUP(B:B,'[3]דוח כספי 10.17 מעודכן'!A:D,4,0)</f>
        <v>55011.77</v>
      </c>
      <c r="R179" s="26">
        <f>VLOOKUP(B:B,'[3]תקבולים 2017'!B:T,17,0)</f>
        <v>66000</v>
      </c>
      <c r="S179" s="26">
        <f t="shared" si="46"/>
        <v>66014.123999999996</v>
      </c>
      <c r="T179" s="164">
        <f>VLOOKUP(B179,'תקבולים 2017'!$A$2:$Q$248,17,0)</f>
        <v>66000</v>
      </c>
      <c r="U179" s="27">
        <v>0</v>
      </c>
    </row>
    <row r="180" spans="2:21" ht="15">
      <c r="B180" s="24">
        <v>1317566920</v>
      </c>
      <c r="C180" s="25" t="str">
        <f t="shared" si="44"/>
        <v>920</v>
      </c>
      <c r="D180" s="25" t="str">
        <f t="shared" si="45"/>
        <v>317566</v>
      </c>
      <c r="E180" s="25" t="s">
        <v>107</v>
      </c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>
        <f>VLOOKUP(B:B,'[3]תקבולים 2017'!B:R,15,0)</f>
        <v>0</v>
      </c>
      <c r="Q180" s="26">
        <f>-VLOOKUP(B:B,'[3]דוח כספי 10.17 מעודכן'!A:D,4,0)</f>
        <v>26385.279999999999</v>
      </c>
      <c r="R180" s="26">
        <f>VLOOKUP(B:B,'[3]תקבולים 2017'!B:T,17,0)</f>
        <v>32000</v>
      </c>
      <c r="S180" s="26">
        <f t="shared" si="46"/>
        <v>31662.335999999996</v>
      </c>
      <c r="T180" s="164">
        <f>VLOOKUP(B180,'תקבולים 2017'!$A$2:$Q$248,17,0)</f>
        <v>32000</v>
      </c>
      <c r="U180" s="27">
        <v>0</v>
      </c>
    </row>
    <row r="181" spans="2:21" ht="15">
      <c r="B181" s="24">
        <v>1317567920</v>
      </c>
      <c r="C181" s="25" t="str">
        <f t="shared" si="44"/>
        <v>920</v>
      </c>
      <c r="D181" s="25" t="str">
        <f t="shared" si="45"/>
        <v>317567</v>
      </c>
      <c r="E181" s="25" t="s">
        <v>158</v>
      </c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>
        <f>VLOOKUP(B:B,'[3]תקבולים 2017'!B:R,15,0)</f>
        <v>8000</v>
      </c>
      <c r="Q181" s="26">
        <f>-VLOOKUP(B:B,'[3]דוח כספי 10.17 מעודכן'!A:D,4,0)</f>
        <v>51389.99</v>
      </c>
      <c r="R181" s="26">
        <f>VLOOKUP(B:B,'[3]תקבולים 2017'!B:T,17,0)</f>
        <v>62000</v>
      </c>
      <c r="S181" s="26">
        <f t="shared" si="46"/>
        <v>61667.987999999998</v>
      </c>
      <c r="T181" s="164">
        <f>VLOOKUP(B181,'תקבולים 2017'!$A$2:$Q$248,17,0)</f>
        <v>62000</v>
      </c>
      <c r="U181" s="27">
        <v>0</v>
      </c>
    </row>
    <row r="182" spans="2:21" ht="15">
      <c r="B182" s="24">
        <v>1317568920</v>
      </c>
      <c r="C182" s="25" t="str">
        <f t="shared" si="44"/>
        <v>920</v>
      </c>
      <c r="D182" s="25" t="str">
        <f t="shared" si="45"/>
        <v>317568</v>
      </c>
      <c r="E182" s="25" t="s">
        <v>159</v>
      </c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>
        <f>VLOOKUP(B:B,'[3]תקבולים 2017'!B:R,15,0)</f>
        <v>1000</v>
      </c>
      <c r="Q182" s="26">
        <f>-VLOOKUP(B:B,'[3]דוח כספי 10.17 מעודכן'!A:D,4,0)</f>
        <v>2199.37</v>
      </c>
      <c r="R182" s="26">
        <f>VLOOKUP(B:B,'[3]תקבולים 2017'!B:T,17,0)</f>
        <v>3000</v>
      </c>
      <c r="S182" s="26">
        <f t="shared" si="46"/>
        <v>2639.2439999999997</v>
      </c>
      <c r="T182" s="164">
        <f>VLOOKUP(B182,'תקבולים 2017'!$A$2:$Q$248,17,0)</f>
        <v>3000</v>
      </c>
      <c r="U182" s="27">
        <v>0</v>
      </c>
    </row>
    <row r="183" spans="2:21" ht="15">
      <c r="B183" s="24">
        <v>1317569920</v>
      </c>
      <c r="C183" s="25" t="str">
        <f t="shared" si="44"/>
        <v>920</v>
      </c>
      <c r="D183" s="25" t="str">
        <f t="shared" si="45"/>
        <v>317569</v>
      </c>
      <c r="E183" s="25" t="s">
        <v>87</v>
      </c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>
        <f>VLOOKUP(B:B,'[3]תקבולים 2017'!B:R,15,0)</f>
        <v>0</v>
      </c>
      <c r="Q183" s="26">
        <f>-VLOOKUP(B:B,'[3]דוח כספי 10.17 מעודכן'!A:D,4,0)</f>
        <v>159180.72</v>
      </c>
      <c r="R183" s="26">
        <f>VLOOKUP(B:B,'[3]תקבולים 2017'!B:T,17,0)</f>
        <v>191000</v>
      </c>
      <c r="S183" s="26">
        <f t="shared" si="46"/>
        <v>191016.864</v>
      </c>
      <c r="T183" s="164">
        <f>VLOOKUP(B183,'תקבולים 2017'!$A$2:$Q$248,17,0)</f>
        <v>191000</v>
      </c>
      <c r="U183" s="27">
        <v>0</v>
      </c>
    </row>
    <row r="184" spans="2:21" ht="15">
      <c r="B184" s="24">
        <v>1317600920</v>
      </c>
      <c r="C184" s="25" t="str">
        <f t="shared" si="44"/>
        <v>920</v>
      </c>
      <c r="D184" s="25" t="str">
        <f t="shared" si="45"/>
        <v>317600</v>
      </c>
      <c r="E184" s="25" t="s">
        <v>197</v>
      </c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>
        <f>VLOOKUP(B:B,'[3]תקבולים 2017'!B:R,15,0)</f>
        <v>152000</v>
      </c>
      <c r="Q184" s="26">
        <f>-VLOOKUP(B:B,'[3]דוח כספי 10.17 מעודכן'!A:D,4,0)</f>
        <v>146788.28</v>
      </c>
      <c r="R184" s="26">
        <f>VLOOKUP(B:B,'[3]תקבולים 2017'!B:T,17,0)</f>
        <v>176000</v>
      </c>
      <c r="S184" s="26">
        <f t="shared" si="46"/>
        <v>176145.93599999999</v>
      </c>
      <c r="T184" s="164">
        <f>VLOOKUP(B184,'תקבולים 2017'!$A$2:$Q$248,17,0)</f>
        <v>176000</v>
      </c>
      <c r="U184" s="27">
        <v>0</v>
      </c>
    </row>
    <row r="185" spans="2:21" ht="15">
      <c r="B185" s="24">
        <v>1317610920</v>
      </c>
      <c r="C185" s="25" t="str">
        <f t="shared" si="44"/>
        <v>920</v>
      </c>
      <c r="D185" s="25" t="str">
        <f t="shared" si="45"/>
        <v>317610</v>
      </c>
      <c r="E185" s="25" t="s">
        <v>198</v>
      </c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>
        <f>VLOOKUP(B:B,'[3]תקבולים 2017'!B:R,15,0)</f>
        <v>0</v>
      </c>
      <c r="Q185" s="26">
        <f>-VLOOKUP(B:B,'[3]דוח כספי 10.17 מעודכן'!A:D,4,0)</f>
        <v>0</v>
      </c>
      <c r="R185" s="26">
        <f>VLOOKUP(B:B,'[3]תקבולים 2017'!B:T,17,0)</f>
        <v>0</v>
      </c>
      <c r="S185" s="26">
        <f t="shared" si="46"/>
        <v>0</v>
      </c>
      <c r="T185" s="164">
        <f>VLOOKUP(B185,'תקבולים 2017'!$A$2:$Q$248,17,0)</f>
        <v>0</v>
      </c>
      <c r="U185" s="27">
        <v>0</v>
      </c>
    </row>
    <row r="186" spans="2:21" ht="15">
      <c r="B186" s="18">
        <v>1317620920</v>
      </c>
      <c r="C186" s="19" t="str">
        <f t="shared" si="44"/>
        <v>920</v>
      </c>
      <c r="D186" s="19" t="str">
        <f t="shared" si="45"/>
        <v>317620</v>
      </c>
      <c r="E186" s="19" t="s">
        <v>199</v>
      </c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>
        <f>VLOOKUP(B:B,'[3]תקבולים 2017'!B:R,15,0)</f>
        <v>0</v>
      </c>
      <c r="Q186" s="20">
        <f>-VLOOKUP(B:B,'[3]דוח כספי 10.17 מעודכן'!A:D,4,0)</f>
        <v>-1000</v>
      </c>
      <c r="R186" s="20">
        <f>VLOOKUP(B:B,'[3]תקבולים 2017'!B:T,17,0)</f>
        <v>0</v>
      </c>
      <c r="S186" s="20">
        <f t="shared" si="46"/>
        <v>-1200</v>
      </c>
      <c r="T186" s="164">
        <f>VLOOKUP(B186,'תקבולים 2017'!$A$2:$Q$248,17,0)</f>
        <v>0</v>
      </c>
      <c r="U186" s="21">
        <v>0</v>
      </c>
    </row>
    <row r="187" spans="2:21" ht="15">
      <c r="B187" s="24">
        <v>1317700920</v>
      </c>
      <c r="C187" s="25" t="str">
        <f t="shared" si="44"/>
        <v>920</v>
      </c>
      <c r="D187" s="25" t="str">
        <f t="shared" si="45"/>
        <v>317700</v>
      </c>
      <c r="E187" s="25" t="s">
        <v>200</v>
      </c>
      <c r="F187" s="26"/>
      <c r="G187" s="26"/>
      <c r="H187" s="26"/>
      <c r="I187" s="26"/>
      <c r="J187" s="26"/>
      <c r="K187" s="26"/>
      <c r="L187" s="26"/>
      <c r="M187" s="26"/>
      <c r="N187" s="26"/>
      <c r="O187" s="44"/>
      <c r="P187" s="26">
        <f>VLOOKUP(B:B,'[3]תקבולים 2017'!B:R,15,0)</f>
        <v>203000</v>
      </c>
      <c r="Q187" s="26">
        <f>-VLOOKUP(B:B,'[3]דוח כספי 10.17 מעודכן'!A:D,4,0)</f>
        <v>123851.25</v>
      </c>
      <c r="R187" s="26">
        <f>VLOOKUP(B:B,'[3]תקבולים 2017'!B:T,17,0)</f>
        <v>149000</v>
      </c>
      <c r="S187" s="26">
        <f t="shared" si="46"/>
        <v>148621.5</v>
      </c>
      <c r="T187" s="164">
        <f>VLOOKUP(B187,'תקבולים 2017'!$A$2:$Q$248,17,0)</f>
        <v>149000</v>
      </c>
      <c r="U187" s="27">
        <v>150000</v>
      </c>
    </row>
    <row r="188" spans="2:21" ht="15">
      <c r="B188" s="24">
        <v>1317710920</v>
      </c>
      <c r="C188" s="25" t="str">
        <f t="shared" si="44"/>
        <v>920</v>
      </c>
      <c r="D188" s="25" t="str">
        <f t="shared" si="45"/>
        <v>317710</v>
      </c>
      <c r="E188" s="25" t="s">
        <v>201</v>
      </c>
      <c r="F188" s="26"/>
      <c r="G188" s="26"/>
      <c r="H188" s="26"/>
      <c r="I188" s="26"/>
      <c r="J188" s="26"/>
      <c r="K188" s="26"/>
      <c r="L188" s="26"/>
      <c r="M188" s="26"/>
      <c r="N188" s="26"/>
      <c r="O188" s="44"/>
      <c r="P188" s="26">
        <f>VLOOKUP(B:B,'[3]תקבולים 2017'!B:R,15,0)</f>
        <v>55000</v>
      </c>
      <c r="Q188" s="26">
        <f>-VLOOKUP(B:B,'[3]דוח כספי 10.17 מעודכן'!A:D,4,0)</f>
        <v>3943.02</v>
      </c>
      <c r="R188" s="26">
        <f>VLOOKUP(B:B,'[3]תקבולים 2017'!B:T,17,0)</f>
        <v>13000</v>
      </c>
      <c r="S188" s="26">
        <f t="shared" si="46"/>
        <v>4731.6239999999998</v>
      </c>
      <c r="T188" s="164">
        <f>VLOOKUP(B188,'תקבולים 2017'!$A$2:$Q$248,17,0)</f>
        <v>13000</v>
      </c>
      <c r="U188" s="27">
        <v>13000</v>
      </c>
    </row>
    <row r="189" spans="2:21" ht="15">
      <c r="B189" s="24">
        <v>1317720920</v>
      </c>
      <c r="C189" s="25" t="str">
        <f t="shared" si="44"/>
        <v>920</v>
      </c>
      <c r="D189" s="25" t="str">
        <f t="shared" si="45"/>
        <v>317720</v>
      </c>
      <c r="E189" s="25" t="s">
        <v>136</v>
      </c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>
        <f>VLOOKUP(B:B,'[3]תקבולים 2017'!B:R,15,0)</f>
        <v>28000</v>
      </c>
      <c r="Q189" s="26">
        <f>-VLOOKUP(B:B,'[3]דוח כספי 10.17 מעודכן'!A:D,4,0)</f>
        <v>25645.46</v>
      </c>
      <c r="R189" s="26">
        <f>VLOOKUP(B:B,'[3]תקבולים 2017'!B:T,17,0)</f>
        <v>31000</v>
      </c>
      <c r="S189" s="26">
        <f t="shared" si="46"/>
        <v>30774.551999999996</v>
      </c>
      <c r="T189" s="164">
        <f>VLOOKUP(B189,'תקבולים 2017'!$A$2:$Q$248,17,0)</f>
        <v>31000</v>
      </c>
      <c r="U189" s="27">
        <v>0</v>
      </c>
    </row>
    <row r="190" spans="2:21" ht="15">
      <c r="B190" s="24">
        <v>1317730920</v>
      </c>
      <c r="C190" s="25" t="str">
        <f t="shared" si="44"/>
        <v>920</v>
      </c>
      <c r="D190" s="25" t="str">
        <f t="shared" si="45"/>
        <v>317730</v>
      </c>
      <c r="E190" s="25" t="s">
        <v>202</v>
      </c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>
        <f>VLOOKUP(B:B,'[3]תקבולים 2017'!B:R,15,0)</f>
        <v>60000</v>
      </c>
      <c r="Q190" s="26">
        <f>-VLOOKUP(B:B,'[3]דוח כספי 10.17 מעודכן'!A:D,4,0)</f>
        <v>64134.87</v>
      </c>
      <c r="R190" s="26">
        <f>VLOOKUP(B:B,'[3]תקבולים 2017'!B:T,17,0)</f>
        <v>77000</v>
      </c>
      <c r="S190" s="26">
        <f t="shared" si="46"/>
        <v>76961.843999999997</v>
      </c>
      <c r="T190" s="164">
        <f>VLOOKUP(B190,'תקבולים 2017'!$A$2:$Q$248,17,0)</f>
        <v>77000</v>
      </c>
      <c r="U190" s="27">
        <v>0</v>
      </c>
    </row>
    <row r="191" spans="2:21" ht="15">
      <c r="B191" s="24">
        <v>1317740920</v>
      </c>
      <c r="C191" s="25" t="str">
        <f t="shared" si="44"/>
        <v>920</v>
      </c>
      <c r="D191" s="25" t="str">
        <f t="shared" si="45"/>
        <v>317740</v>
      </c>
      <c r="E191" s="25" t="s">
        <v>170</v>
      </c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>
        <f>VLOOKUP(B:B,'[3]תקבולים 2017'!B:R,15,0)</f>
        <v>9000</v>
      </c>
      <c r="Q191" s="26">
        <f>-VLOOKUP(B:B,'[3]דוח כספי 10.17 מעודכן'!A:D,4,0)</f>
        <v>6272.92</v>
      </c>
      <c r="R191" s="26">
        <f>VLOOKUP(B:B,'[3]תקבולים 2017'!B:T,17,0)</f>
        <v>8000</v>
      </c>
      <c r="S191" s="26">
        <f t="shared" si="46"/>
        <v>7527.5040000000008</v>
      </c>
      <c r="T191" s="164">
        <f>VLOOKUP(B191,'תקבולים 2017'!$A$2:$Q$248,17,0)</f>
        <v>8000</v>
      </c>
      <c r="U191" s="27">
        <v>0</v>
      </c>
    </row>
    <row r="192" spans="2:21" ht="15">
      <c r="B192" s="24">
        <v>1317750920</v>
      </c>
      <c r="C192" s="25" t="str">
        <f t="shared" si="44"/>
        <v>920</v>
      </c>
      <c r="D192" s="25" t="str">
        <f t="shared" si="45"/>
        <v>317750</v>
      </c>
      <c r="E192" s="25" t="s">
        <v>173</v>
      </c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>
        <f>VLOOKUP(B:B,'[3]תקבולים 2017'!B:R,15,0)</f>
        <v>57000</v>
      </c>
      <c r="Q192" s="26">
        <f>-VLOOKUP(B:B,'[3]דוח כספי 10.17 מעודכן'!A:D,4,0)</f>
        <v>108802.81</v>
      </c>
      <c r="R192" s="26">
        <f>VLOOKUP(B:B,'[3]תקבולים 2017'!B:T,17,0)</f>
        <v>131000</v>
      </c>
      <c r="S192" s="26">
        <f t="shared" si="46"/>
        <v>130563.37199999999</v>
      </c>
      <c r="T192" s="164">
        <f>VLOOKUP(B192,'תקבולים 2017'!$A$2:$Q$248,17,0)</f>
        <v>131000</v>
      </c>
      <c r="U192" s="27">
        <v>0</v>
      </c>
    </row>
    <row r="193" spans="2:21" ht="15">
      <c r="B193" s="24">
        <v>1317800920</v>
      </c>
      <c r="C193" s="25" t="str">
        <f t="shared" si="44"/>
        <v>920</v>
      </c>
      <c r="D193" s="25" t="str">
        <f t="shared" si="45"/>
        <v>317800</v>
      </c>
      <c r="E193" s="25" t="s">
        <v>203</v>
      </c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>
        <f>VLOOKUP(B:B,'[3]תקבולים 2017'!B:R,15,0)</f>
        <v>60000</v>
      </c>
      <c r="Q193" s="26">
        <f>-VLOOKUP(B:B,'[3]דוח כספי 10.17 מעודכן'!A:D,4,0)</f>
        <v>69540.72</v>
      </c>
      <c r="R193" s="26">
        <f>VLOOKUP(B:B,'[3]תקבולים 2017'!B:T,17,0)</f>
        <v>84000</v>
      </c>
      <c r="S193" s="26">
        <f t="shared" si="46"/>
        <v>83448.864000000001</v>
      </c>
      <c r="T193" s="164">
        <f>VLOOKUP(B193,'תקבולים 2017'!$A$2:$Q$248,17,0)</f>
        <v>84000</v>
      </c>
      <c r="U193" s="27"/>
    </row>
    <row r="194" spans="2:21" ht="15">
      <c r="B194" s="24">
        <v>1317801920</v>
      </c>
      <c r="C194" s="25" t="str">
        <f t="shared" si="44"/>
        <v>920</v>
      </c>
      <c r="D194" s="25" t="str">
        <f t="shared" si="45"/>
        <v>317801</v>
      </c>
      <c r="E194" s="26" t="s">
        <v>203</v>
      </c>
      <c r="F194" s="26"/>
      <c r="G194" s="26"/>
      <c r="H194" s="26"/>
      <c r="I194" s="26"/>
      <c r="J194" s="26"/>
      <c r="K194" s="26"/>
      <c r="L194" s="26"/>
      <c r="M194" s="26"/>
      <c r="N194" s="26"/>
      <c r="O194" s="44"/>
      <c r="P194" s="26">
        <v>0</v>
      </c>
      <c r="Q194" s="26">
        <v>0</v>
      </c>
      <c r="R194" s="26">
        <v>0</v>
      </c>
      <c r="S194" s="26">
        <v>0</v>
      </c>
      <c r="T194" s="164">
        <v>0</v>
      </c>
      <c r="U194" s="27">
        <v>84000</v>
      </c>
    </row>
    <row r="195" spans="2:21" ht="15">
      <c r="B195" s="24">
        <v>1317802920</v>
      </c>
      <c r="C195" s="25" t="str">
        <f t="shared" si="44"/>
        <v>920</v>
      </c>
      <c r="D195" s="25" t="str">
        <f t="shared" si="45"/>
        <v>317802</v>
      </c>
      <c r="E195" s="25" t="s">
        <v>204</v>
      </c>
      <c r="F195" s="26"/>
      <c r="G195" s="26"/>
      <c r="H195" s="26"/>
      <c r="I195" s="26"/>
      <c r="J195" s="26"/>
      <c r="K195" s="26"/>
      <c r="L195" s="26"/>
      <c r="M195" s="26"/>
      <c r="N195" s="26"/>
      <c r="O195" s="44"/>
      <c r="P195" s="26">
        <v>0</v>
      </c>
      <c r="Q195" s="26">
        <v>0</v>
      </c>
      <c r="R195" s="26">
        <v>0</v>
      </c>
      <c r="S195" s="26">
        <v>0</v>
      </c>
      <c r="T195" s="164">
        <v>0</v>
      </c>
      <c r="U195" s="27">
        <v>1445000</v>
      </c>
    </row>
    <row r="196" spans="2:21" ht="15">
      <c r="B196" s="24">
        <v>1317803920</v>
      </c>
      <c r="C196" s="25" t="str">
        <f t="shared" si="44"/>
        <v>920</v>
      </c>
      <c r="D196" s="25" t="str">
        <f t="shared" si="45"/>
        <v>317803</v>
      </c>
      <c r="E196" s="25" t="s">
        <v>205</v>
      </c>
      <c r="F196" s="26"/>
      <c r="G196" s="26"/>
      <c r="H196" s="26"/>
      <c r="I196" s="26"/>
      <c r="J196" s="26"/>
      <c r="K196" s="26"/>
      <c r="L196" s="26"/>
      <c r="M196" s="26"/>
      <c r="N196" s="26"/>
      <c r="O196" s="44"/>
      <c r="P196" s="26">
        <v>0</v>
      </c>
      <c r="Q196" s="26">
        <v>0</v>
      </c>
      <c r="R196" s="26">
        <v>0</v>
      </c>
      <c r="S196" s="26">
        <v>0</v>
      </c>
      <c r="T196" s="164">
        <v>0</v>
      </c>
      <c r="U196" s="27">
        <v>70000</v>
      </c>
    </row>
    <row r="197" spans="2:21" ht="15">
      <c r="B197" s="24">
        <v>1317810920</v>
      </c>
      <c r="C197" s="25" t="str">
        <f t="shared" si="44"/>
        <v>920</v>
      </c>
      <c r="D197" s="25" t="str">
        <f t="shared" si="45"/>
        <v>317810</v>
      </c>
      <c r="E197" s="25" t="s">
        <v>206</v>
      </c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>
        <f>VLOOKUP(B:B,'[3]תקבולים 2017'!B:R,15,0)</f>
        <v>0</v>
      </c>
      <c r="Q197" s="26">
        <f>-VLOOKUP(B:B,'[3]דוח כספי 10.17 מעודכן'!A:D,4,0)</f>
        <v>0</v>
      </c>
      <c r="R197" s="26">
        <f>VLOOKUP(B:B,'[3]תקבולים 2017'!B:T,17,0)</f>
        <v>0</v>
      </c>
      <c r="S197" s="26">
        <f t="shared" ref="S197:S224" si="47">Q197/10*12</f>
        <v>0</v>
      </c>
      <c r="T197" s="164">
        <f>VLOOKUP(B197,'תקבולים 2017'!$A$2:$Q$248,17,0)</f>
        <v>0</v>
      </c>
      <c r="U197" s="27">
        <v>0</v>
      </c>
    </row>
    <row r="198" spans="2:21" ht="15">
      <c r="B198" s="24">
        <v>1317820920</v>
      </c>
      <c r="C198" s="25" t="str">
        <f t="shared" si="44"/>
        <v>920</v>
      </c>
      <c r="D198" s="25" t="str">
        <f t="shared" si="45"/>
        <v>317820</v>
      </c>
      <c r="E198" s="25" t="s">
        <v>104</v>
      </c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>
        <f>VLOOKUP(B:B,'[3]תקבולים 2017'!B:R,15,0)</f>
        <v>50000</v>
      </c>
      <c r="Q198" s="26">
        <f>-VLOOKUP(B:B,'[3]דוח כספי 10.17 מעודכן'!A:D,4,0)</f>
        <v>74300.78</v>
      </c>
      <c r="R198" s="26">
        <f>VLOOKUP(B:B,'[3]תקבולים 2017'!B:T,17,0)</f>
        <v>89000</v>
      </c>
      <c r="S198" s="26">
        <f t="shared" si="47"/>
        <v>89160.935999999987</v>
      </c>
      <c r="T198" s="164">
        <f>VLOOKUP(B198,'תקבולים 2017'!$A$2:$Q$248,17,0)</f>
        <v>89000</v>
      </c>
      <c r="U198" s="27">
        <v>0</v>
      </c>
    </row>
    <row r="199" spans="2:21" ht="15">
      <c r="B199" s="24">
        <v>1317830920</v>
      </c>
      <c r="C199" s="25" t="str">
        <f t="shared" si="44"/>
        <v>920</v>
      </c>
      <c r="D199" s="25" t="str">
        <f t="shared" si="45"/>
        <v>317830</v>
      </c>
      <c r="E199" s="25" t="s">
        <v>108</v>
      </c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>
        <f>VLOOKUP(B:B,'[3]תקבולים 2017'!B:R,15,0)</f>
        <v>160000</v>
      </c>
      <c r="Q199" s="26">
        <f>-VLOOKUP(B:B,'[3]דוח כספי 10.17 מעודכן'!A:D,4,0)</f>
        <v>200885.38</v>
      </c>
      <c r="R199" s="26">
        <f>VLOOKUP(B:B,'[3]תקבולים 2017'!B:T,17,0)</f>
        <v>241000</v>
      </c>
      <c r="S199" s="26">
        <f t="shared" si="47"/>
        <v>241062.45600000001</v>
      </c>
      <c r="T199" s="164">
        <f>VLOOKUP(B199,'תקבולים 2017'!$A$2:$Q$248,17,0)</f>
        <v>241000</v>
      </c>
      <c r="U199" s="27">
        <v>0</v>
      </c>
    </row>
    <row r="200" spans="2:21" ht="15">
      <c r="B200" s="24">
        <v>1317831920</v>
      </c>
      <c r="C200" s="25" t="str">
        <f t="shared" si="44"/>
        <v>920</v>
      </c>
      <c r="D200" s="25" t="str">
        <f t="shared" si="45"/>
        <v>317831</v>
      </c>
      <c r="E200" s="25" t="s">
        <v>207</v>
      </c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>
        <f>VLOOKUP(B:B,'[3]תקבולים 2017'!B:R,15,0)</f>
        <v>0</v>
      </c>
      <c r="Q200" s="26">
        <f>-VLOOKUP(B:B,'[3]דוח כספי 10.17 מעודכן'!A:D,4,0)</f>
        <v>0</v>
      </c>
      <c r="R200" s="26">
        <f>VLOOKUP(B:B,'[3]תקבולים 2017'!B:T,17,0)</f>
        <v>0</v>
      </c>
      <c r="S200" s="26">
        <f t="shared" si="47"/>
        <v>0</v>
      </c>
      <c r="T200" s="164">
        <f>VLOOKUP(B200,'תקבולים 2017'!$A$2:$Q$248,17,0)</f>
        <v>0</v>
      </c>
      <c r="U200" s="27">
        <v>0</v>
      </c>
    </row>
    <row r="201" spans="2:21" ht="15">
      <c r="B201" s="24">
        <v>1317840920</v>
      </c>
      <c r="C201" s="25" t="str">
        <f t="shared" si="44"/>
        <v>920</v>
      </c>
      <c r="D201" s="25" t="str">
        <f t="shared" si="45"/>
        <v>317840</v>
      </c>
      <c r="E201" s="25" t="s">
        <v>208</v>
      </c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>
        <f>VLOOKUP(B:B,'[3]תקבולים 2017'!B:R,15,0)</f>
        <v>3480000</v>
      </c>
      <c r="Q201" s="26">
        <f>-VLOOKUP(B:B,'[3]דוח כספי 10.17 מעודכן'!A:D,4,0)</f>
        <v>3120034.8</v>
      </c>
      <c r="R201" s="26">
        <f>VLOOKUP(B:B,'[3]תקבולים 2017'!B:T,17,0)</f>
        <v>3744000</v>
      </c>
      <c r="S201" s="26">
        <f t="shared" si="47"/>
        <v>3744041.76</v>
      </c>
      <c r="T201" s="164">
        <f>VLOOKUP(B201,'תקבולים 2017'!$A$2:$Q$248,17,0)</f>
        <v>3744000</v>
      </c>
      <c r="U201" s="27">
        <v>0</v>
      </c>
    </row>
    <row r="202" spans="2:21" ht="15">
      <c r="B202" s="24">
        <v>1317841920</v>
      </c>
      <c r="C202" s="25" t="str">
        <f t="shared" si="44"/>
        <v>920</v>
      </c>
      <c r="D202" s="25" t="str">
        <f t="shared" si="45"/>
        <v>317841</v>
      </c>
      <c r="E202" s="25" t="s">
        <v>209</v>
      </c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>
        <f>VLOOKUP(B:B,'[3]תקבולים 2017'!B:R,15,0)</f>
        <v>1264000</v>
      </c>
      <c r="Q202" s="26">
        <f>-VLOOKUP(B:B,'[3]דוח כספי 10.17 מעודכן'!A:D,4,0)</f>
        <v>0</v>
      </c>
      <c r="R202" s="26">
        <f>VLOOKUP(B:B,'[3]תקבולים 2017'!B:T,17,0)</f>
        <v>0</v>
      </c>
      <c r="S202" s="26">
        <f t="shared" si="47"/>
        <v>0</v>
      </c>
      <c r="T202" s="164">
        <f>VLOOKUP(B202,'תקבולים 2017'!$A$2:$Q$248,17,0)</f>
        <v>0</v>
      </c>
      <c r="U202" s="27">
        <v>0</v>
      </c>
    </row>
    <row r="203" spans="2:21" ht="15">
      <c r="B203" s="24">
        <v>1317842920</v>
      </c>
      <c r="C203" s="25" t="str">
        <f t="shared" si="44"/>
        <v>920</v>
      </c>
      <c r="D203" s="25" t="str">
        <f t="shared" si="45"/>
        <v>317842</v>
      </c>
      <c r="E203" s="25" t="s">
        <v>210</v>
      </c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>
        <f>VLOOKUP(B:B,'[3]תקבולים 2017'!B:R,15,0)</f>
        <v>0</v>
      </c>
      <c r="Q203" s="26">
        <f>-VLOOKUP(B:B,'[3]דוח כספי 10.17 מעודכן'!A:D,4,0)</f>
        <v>0</v>
      </c>
      <c r="R203" s="26">
        <f>VLOOKUP(B:B,'[3]תקבולים 2017'!B:T,17,0)</f>
        <v>0</v>
      </c>
      <c r="S203" s="26">
        <f t="shared" si="47"/>
        <v>0</v>
      </c>
      <c r="T203" s="164">
        <f>VLOOKUP(B203,'תקבולים 2017'!$A$2:$Q$248,17,0)</f>
        <v>0</v>
      </c>
      <c r="U203" s="27">
        <v>0</v>
      </c>
    </row>
    <row r="204" spans="2:21" ht="15">
      <c r="B204" s="24">
        <v>1317850920</v>
      </c>
      <c r="C204" s="25" t="str">
        <f t="shared" si="44"/>
        <v>920</v>
      </c>
      <c r="D204" s="25" t="str">
        <f t="shared" si="45"/>
        <v>317850</v>
      </c>
      <c r="E204" s="25" t="s">
        <v>211</v>
      </c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>
        <f>VLOOKUP(B:B,'[3]תקבולים 2017'!B:R,15,0)</f>
        <v>14000</v>
      </c>
      <c r="Q204" s="26">
        <f>-VLOOKUP(B:B,'[3]דוח כספי 10.17 מעודכן'!A:D,4,0)</f>
        <v>6585.68</v>
      </c>
      <c r="R204" s="26">
        <f>VLOOKUP(B:B,'[3]תקבולים 2017'!B:T,17,0)</f>
        <v>8000</v>
      </c>
      <c r="S204" s="26">
        <f t="shared" si="47"/>
        <v>7902.8159999999998</v>
      </c>
      <c r="T204" s="164">
        <f>VLOOKUP(B204,'תקבולים 2017'!$A$2:$Q$248,17,0)</f>
        <v>8000</v>
      </c>
      <c r="U204" s="27">
        <v>0</v>
      </c>
    </row>
    <row r="205" spans="2:21" ht="15">
      <c r="B205" s="24">
        <v>1317851920</v>
      </c>
      <c r="C205" s="25" t="str">
        <f t="shared" si="44"/>
        <v>920</v>
      </c>
      <c r="D205" s="25" t="str">
        <f t="shared" si="45"/>
        <v>317851</v>
      </c>
      <c r="E205" s="25" t="s">
        <v>212</v>
      </c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>
        <f>VLOOKUP(B:B,'[3]תקבולים 2017'!B:R,15,0)</f>
        <v>0</v>
      </c>
      <c r="Q205" s="26">
        <f>-VLOOKUP(B:B,'[3]דוח כספי 10.17 מעודכן'!A:D,4,0)</f>
        <v>0</v>
      </c>
      <c r="R205" s="26">
        <f>VLOOKUP(B:B,'[3]תקבולים 2017'!B:T,17,0)</f>
        <v>0</v>
      </c>
      <c r="S205" s="26">
        <f t="shared" si="47"/>
        <v>0</v>
      </c>
      <c r="T205" s="164">
        <f>VLOOKUP(B205,'תקבולים 2017'!$A$2:$Q$248,17,0)</f>
        <v>0</v>
      </c>
      <c r="U205" s="27">
        <v>0</v>
      </c>
    </row>
    <row r="206" spans="2:21" ht="15">
      <c r="B206" s="24">
        <v>1317860920</v>
      </c>
      <c r="C206" s="25" t="str">
        <f t="shared" si="44"/>
        <v>920</v>
      </c>
      <c r="D206" s="25" t="str">
        <f t="shared" si="45"/>
        <v>317860</v>
      </c>
      <c r="E206" s="25" t="s">
        <v>213</v>
      </c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>
        <f>VLOOKUP(B:B,'[3]תקבולים 2017'!B:R,15,0)</f>
        <v>331000</v>
      </c>
      <c r="Q206" s="26">
        <f>-VLOOKUP(B:B,'[3]דוח כספי 10.17 מעודכן'!A:D,4,0)</f>
        <v>314110.99</v>
      </c>
      <c r="R206" s="26">
        <f>VLOOKUP(B:B,'[3]תקבולים 2017'!B:T,17,0)</f>
        <v>377000</v>
      </c>
      <c r="S206" s="26">
        <f t="shared" si="47"/>
        <v>376933.18799999997</v>
      </c>
      <c r="T206" s="164">
        <f>VLOOKUP(B206,'תקבולים 2017'!$A$2:$Q$248,17,0)</f>
        <v>377000</v>
      </c>
      <c r="U206" s="27">
        <v>0</v>
      </c>
    </row>
    <row r="207" spans="2:21" ht="15">
      <c r="B207" s="24">
        <v>1317861920</v>
      </c>
      <c r="C207" s="25" t="str">
        <f t="shared" si="44"/>
        <v>920</v>
      </c>
      <c r="D207" s="25" t="str">
        <f t="shared" si="45"/>
        <v>317861</v>
      </c>
      <c r="E207" s="25" t="s">
        <v>214</v>
      </c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>
        <f>VLOOKUP(B:B,'[3]תקבולים 2017'!B:R,15,0)</f>
        <v>0</v>
      </c>
      <c r="Q207" s="26">
        <f>-VLOOKUP(B:B,'[3]דוח כספי 10.17 מעודכן'!A:D,4,0)</f>
        <v>-90</v>
      </c>
      <c r="R207" s="26">
        <f>VLOOKUP(B:B,'[3]תקבולים 2017'!B:T,17,0)</f>
        <v>0</v>
      </c>
      <c r="S207" s="26">
        <f t="shared" si="47"/>
        <v>-108</v>
      </c>
      <c r="T207" s="164">
        <f>VLOOKUP(B207,'תקבולים 2017'!$A$2:$Q$248,17,0)</f>
        <v>0</v>
      </c>
      <c r="U207" s="27">
        <v>0</v>
      </c>
    </row>
    <row r="208" spans="2:21" ht="15">
      <c r="B208" s="24">
        <v>1317870690</v>
      </c>
      <c r="C208" s="25" t="str">
        <f t="shared" si="44"/>
        <v>690</v>
      </c>
      <c r="D208" s="25" t="str">
        <f t="shared" si="45"/>
        <v>317870</v>
      </c>
      <c r="E208" s="25" t="s">
        <v>215</v>
      </c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>
        <f>VLOOKUP(B:B,'[3]תקבולים 2017'!B:R,15,0)</f>
        <v>0</v>
      </c>
      <c r="Q208" s="26">
        <f>-VLOOKUP(B:B,'[3]דוח כספי 10.17 מעודכן'!A:D,4,0)</f>
        <v>0</v>
      </c>
      <c r="R208" s="26">
        <f>VLOOKUP(B:B,'[3]תקבולים 2017'!B:T,17,0)</f>
        <v>0</v>
      </c>
      <c r="S208" s="26">
        <f t="shared" si="47"/>
        <v>0</v>
      </c>
      <c r="T208" s="164">
        <f>VLOOKUP(B208,'תקבולים 2017'!$A$2:$Q$248,17,0)</f>
        <v>0</v>
      </c>
      <c r="U208" s="27">
        <v>0</v>
      </c>
    </row>
    <row r="209" spans="2:21" ht="15">
      <c r="B209" s="24">
        <v>1317870920</v>
      </c>
      <c r="C209" s="25" t="str">
        <f t="shared" si="44"/>
        <v>920</v>
      </c>
      <c r="D209" s="25" t="str">
        <f t="shared" si="45"/>
        <v>317870</v>
      </c>
      <c r="E209" s="25" t="s">
        <v>216</v>
      </c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>
        <f>VLOOKUP(B:B,'[3]תקבולים 2017'!B:R,15,0)</f>
        <v>0</v>
      </c>
      <c r="Q209" s="26">
        <f>-VLOOKUP(B:B,'[3]דוח כספי 10.17 מעודכן'!A:D,4,0)</f>
        <v>0</v>
      </c>
      <c r="R209" s="26">
        <f>VLOOKUP(B:B,'[3]תקבולים 2017'!B:T,17,0)</f>
        <v>0</v>
      </c>
      <c r="S209" s="26">
        <f t="shared" si="47"/>
        <v>0</v>
      </c>
      <c r="T209" s="164">
        <f>VLOOKUP(B209,'תקבולים 2017'!$A$2:$Q$248,17,0)</f>
        <v>0</v>
      </c>
      <c r="U209" s="27">
        <v>0</v>
      </c>
    </row>
    <row r="210" spans="2:21" ht="15">
      <c r="B210" s="24">
        <v>1317875920</v>
      </c>
      <c r="C210" s="25" t="str">
        <f t="shared" si="44"/>
        <v>920</v>
      </c>
      <c r="D210" s="25" t="str">
        <f t="shared" si="45"/>
        <v>317875</v>
      </c>
      <c r="E210" s="25" t="s">
        <v>217</v>
      </c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>
        <f>VLOOKUP(B:B,'[3]תקבולים 2017'!B:R,15,0)</f>
        <v>0</v>
      </c>
      <c r="Q210" s="26">
        <f>-VLOOKUP(B:B,'[3]דוח כספי 10.17 מעודכן'!A:D,4,0)</f>
        <v>-13576.53</v>
      </c>
      <c r="R210" s="26">
        <f>VLOOKUP(B:B,'[3]תקבולים 2017'!B:T,17,0)</f>
        <v>0</v>
      </c>
      <c r="S210" s="26">
        <f t="shared" si="47"/>
        <v>-16291.835999999999</v>
      </c>
      <c r="T210" s="164">
        <f>VLOOKUP(B210,'תקבולים 2017'!$A$2:$Q$248,17,0)</f>
        <v>0</v>
      </c>
      <c r="U210" s="27">
        <v>0</v>
      </c>
    </row>
    <row r="211" spans="2:21" ht="15">
      <c r="B211" s="24">
        <v>1317880920</v>
      </c>
      <c r="C211" s="25" t="str">
        <f t="shared" si="44"/>
        <v>920</v>
      </c>
      <c r="D211" s="25" t="str">
        <f t="shared" si="45"/>
        <v>317880</v>
      </c>
      <c r="E211" s="25" t="s">
        <v>218</v>
      </c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>
        <f>VLOOKUP(B:B,'[3]תקבולים 2017'!B:R,15,0)</f>
        <v>0</v>
      </c>
      <c r="Q211" s="26">
        <f>-VLOOKUP(B:B,'[3]דוח כספי 10.17 מעודכן'!A:D,4,0)</f>
        <v>0</v>
      </c>
      <c r="R211" s="26">
        <f>VLOOKUP(B:B,'[3]תקבולים 2017'!B:T,17,0)</f>
        <v>0</v>
      </c>
      <c r="S211" s="26">
        <f t="shared" si="47"/>
        <v>0</v>
      </c>
      <c r="T211" s="164">
        <f>VLOOKUP(B211,'תקבולים 2017'!$A$2:$Q$248,17,0)</f>
        <v>0</v>
      </c>
      <c r="U211" s="27">
        <v>0</v>
      </c>
    </row>
    <row r="212" spans="2:21" ht="15">
      <c r="B212" s="24">
        <v>1317890920</v>
      </c>
      <c r="C212" s="25" t="str">
        <f t="shared" si="44"/>
        <v>920</v>
      </c>
      <c r="D212" s="25" t="str">
        <f t="shared" si="45"/>
        <v>317890</v>
      </c>
      <c r="E212" s="25" t="s">
        <v>219</v>
      </c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>
        <f>VLOOKUP(B:B,'[3]תקבולים 2017'!B:R,15,0)</f>
        <v>0</v>
      </c>
      <c r="Q212" s="26">
        <f>-VLOOKUP(B:B,'[3]דוח כספי 10.17 מעודכן'!A:D,4,0)</f>
        <v>0</v>
      </c>
      <c r="R212" s="26">
        <f>VLOOKUP(B:B,'[3]תקבולים 2017'!B:T,17,0)</f>
        <v>0</v>
      </c>
      <c r="S212" s="26">
        <f t="shared" si="47"/>
        <v>0</v>
      </c>
      <c r="T212" s="164">
        <f>VLOOKUP(B212,'תקבולים 2017'!$A$2:$Q$248,17,0)</f>
        <v>0</v>
      </c>
      <c r="U212" s="27">
        <v>0</v>
      </c>
    </row>
    <row r="213" spans="2:21" ht="15">
      <c r="B213" s="24">
        <v>1317891920</v>
      </c>
      <c r="C213" s="25" t="str">
        <f t="shared" si="44"/>
        <v>920</v>
      </c>
      <c r="D213" s="25" t="str">
        <f t="shared" si="45"/>
        <v>317891</v>
      </c>
      <c r="E213" s="25" t="s">
        <v>220</v>
      </c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>
        <f>VLOOKUP(B:B,'[3]תקבולים 2017'!B:R,15,0)</f>
        <v>100000</v>
      </c>
      <c r="Q213" s="26">
        <f>-VLOOKUP(B:B,'[3]דוח כספי 10.17 מעודכן'!A:D,4,0)</f>
        <v>146666.46</v>
      </c>
      <c r="R213" s="26">
        <f>VLOOKUP(B:B,'[3]תקבולים 2017'!B:T,17,0)</f>
        <v>175999.75199999998</v>
      </c>
      <c r="S213" s="26">
        <f t="shared" si="47"/>
        <v>175999.75199999998</v>
      </c>
      <c r="T213" s="164">
        <f>VLOOKUP(B213,'תקבולים 2017'!$A$2:$Q$248,17,0)</f>
        <v>175999.75199999998</v>
      </c>
      <c r="U213" s="27">
        <v>0</v>
      </c>
    </row>
    <row r="214" spans="2:21" ht="15">
      <c r="B214" s="24">
        <v>1317893920</v>
      </c>
      <c r="C214" s="25" t="str">
        <f t="shared" si="44"/>
        <v>920</v>
      </c>
      <c r="D214" s="25" t="str">
        <f t="shared" si="45"/>
        <v>317893</v>
      </c>
      <c r="E214" s="25" t="s">
        <v>221</v>
      </c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>
        <f>VLOOKUP(B:B,'[3]תקבולים 2017'!B:R,15,0)</f>
        <v>0</v>
      </c>
      <c r="Q214" s="26">
        <f>-VLOOKUP(B:B,'[3]דוח כספי 10.17 מעודכן'!A:D,4,0)</f>
        <v>0</v>
      </c>
      <c r="R214" s="26">
        <f>VLOOKUP(B:B,'[3]תקבולים 2017'!B:T,17,0)</f>
        <v>0</v>
      </c>
      <c r="S214" s="26">
        <f t="shared" si="47"/>
        <v>0</v>
      </c>
      <c r="T214" s="164">
        <f>VLOOKUP(B214,'תקבולים 2017'!$A$2:$Q$248,17,0)</f>
        <v>0</v>
      </c>
      <c r="U214" s="27">
        <v>0</v>
      </c>
    </row>
    <row r="215" spans="2:21" ht="15">
      <c r="B215" s="24">
        <v>1317894920</v>
      </c>
      <c r="C215" s="25" t="str">
        <f t="shared" si="44"/>
        <v>920</v>
      </c>
      <c r="D215" s="25" t="str">
        <f t="shared" si="45"/>
        <v>317894</v>
      </c>
      <c r="E215" s="25" t="s">
        <v>222</v>
      </c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>
        <f>VLOOKUP(B:B,'[3]תקבולים 2017'!B:R,15,0)</f>
        <v>0</v>
      </c>
      <c r="Q215" s="26">
        <f>-VLOOKUP(B:B,'[3]דוח כספי 10.17 מעודכן'!A:D,4,0)</f>
        <v>0</v>
      </c>
      <c r="R215" s="26">
        <f>VLOOKUP(B:B,'[3]תקבולים 2017'!B:T,17,0)</f>
        <v>0</v>
      </c>
      <c r="S215" s="26">
        <f t="shared" si="47"/>
        <v>0</v>
      </c>
      <c r="T215" s="164">
        <f>VLOOKUP(B215,'תקבולים 2017'!$A$2:$Q$248,17,0)</f>
        <v>0</v>
      </c>
      <c r="U215" s="27">
        <v>0</v>
      </c>
    </row>
    <row r="216" spans="2:21" ht="15">
      <c r="B216" s="24">
        <v>1317895920</v>
      </c>
      <c r="C216" s="25" t="str">
        <f t="shared" si="44"/>
        <v>920</v>
      </c>
      <c r="D216" s="25" t="str">
        <f t="shared" si="45"/>
        <v>317895</v>
      </c>
      <c r="E216" s="25" t="s">
        <v>166</v>
      </c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>
        <f>VLOOKUP(B:B,'[3]תקבולים 2017'!B:R,15,0)</f>
        <v>6000</v>
      </c>
      <c r="Q216" s="26">
        <f>-VLOOKUP(B:B,'[3]דוח כספי 10.17 מעודכן'!A:D,4,0)</f>
        <v>3873.2</v>
      </c>
      <c r="R216" s="26">
        <f>VLOOKUP(B:B,'[3]תקבולים 2017'!B:T,17,0)</f>
        <v>5000</v>
      </c>
      <c r="S216" s="26">
        <f t="shared" si="47"/>
        <v>4647.84</v>
      </c>
      <c r="T216" s="164">
        <f>VLOOKUP(B216,'תקבולים 2017'!$A$2:$Q$248,17,0)</f>
        <v>5000</v>
      </c>
      <c r="U216" s="27">
        <v>0</v>
      </c>
    </row>
    <row r="217" spans="2:21" ht="15">
      <c r="B217" s="24">
        <v>1317896920</v>
      </c>
      <c r="C217" s="25" t="str">
        <f t="shared" si="44"/>
        <v>920</v>
      </c>
      <c r="D217" s="25" t="str">
        <f t="shared" si="45"/>
        <v>317896</v>
      </c>
      <c r="E217" s="25" t="s">
        <v>223</v>
      </c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>
        <f>VLOOKUP(B:B,'[3]תקבולים 2017'!B:R,15,0)</f>
        <v>597000</v>
      </c>
      <c r="Q217" s="26">
        <f>-VLOOKUP(B:B,'[3]דוח כספי 10.17 מעודכן'!A:D,4,0)</f>
        <v>465798.16</v>
      </c>
      <c r="R217" s="26">
        <f>VLOOKUP(B:B,'[3]תקבולים 2017'!B:T,17,0)</f>
        <v>560000</v>
      </c>
      <c r="S217" s="26">
        <f t="shared" si="47"/>
        <v>558957.79200000002</v>
      </c>
      <c r="T217" s="164">
        <f>VLOOKUP(B217,'תקבולים 2017'!$A$2:$Q$248,17,0)</f>
        <v>560000</v>
      </c>
      <c r="U217" s="27">
        <v>0</v>
      </c>
    </row>
    <row r="218" spans="2:21" ht="15">
      <c r="B218" s="24">
        <v>1317897920</v>
      </c>
      <c r="C218" s="25" t="str">
        <f t="shared" si="44"/>
        <v>920</v>
      </c>
      <c r="D218" s="25" t="str">
        <f t="shared" si="45"/>
        <v>317897</v>
      </c>
      <c r="E218" s="25" t="s">
        <v>225</v>
      </c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>
        <f>VLOOKUP(B:B,'[3]תקבולים 2017'!B:R,15,0)</f>
        <v>19000</v>
      </c>
      <c r="Q218" s="26">
        <f>-VLOOKUP(B:B,'[3]דוח כספי 10.17 מעודכן'!A:D,4,0)</f>
        <v>27220.32</v>
      </c>
      <c r="R218" s="26">
        <f>VLOOKUP(B:B,'[3]תקבולים 2017'!B:T,17,0)</f>
        <v>33000</v>
      </c>
      <c r="S218" s="26">
        <f t="shared" si="47"/>
        <v>32664.384000000002</v>
      </c>
      <c r="T218" s="164">
        <f>VLOOKUP(B218,'תקבולים 2017'!$A$2:$Q$248,17,0)</f>
        <v>33000</v>
      </c>
      <c r="U218" s="27">
        <v>0</v>
      </c>
    </row>
    <row r="219" spans="2:21" ht="15">
      <c r="B219" s="24">
        <v>1317898920</v>
      </c>
      <c r="C219" s="25" t="str">
        <f t="shared" si="44"/>
        <v>920</v>
      </c>
      <c r="D219" s="25" t="str">
        <f t="shared" si="45"/>
        <v>317898</v>
      </c>
      <c r="E219" s="25" t="s">
        <v>226</v>
      </c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>
        <f>VLOOKUP(B:B,'[3]תקבולים 2017'!B:R,15,0)</f>
        <v>38000</v>
      </c>
      <c r="Q219" s="26">
        <f>-VLOOKUP(B:B,'[3]דוח כספי 10.17 מעודכן'!A:D,4,0)</f>
        <v>11949.69</v>
      </c>
      <c r="R219" s="26">
        <f>VLOOKUP(B:B,'[3]תקבולים 2017'!B:T,17,0)</f>
        <v>14000</v>
      </c>
      <c r="S219" s="26">
        <f t="shared" si="47"/>
        <v>14339.628000000001</v>
      </c>
      <c r="T219" s="164">
        <f>VLOOKUP(B219,'תקבולים 2017'!$A$2:$Q$248,17,0)</f>
        <v>14000</v>
      </c>
      <c r="U219" s="27">
        <v>0</v>
      </c>
    </row>
    <row r="220" spans="2:21" ht="15">
      <c r="B220" s="24">
        <v>1317900920</v>
      </c>
      <c r="C220" s="25" t="str">
        <f t="shared" si="44"/>
        <v>920</v>
      </c>
      <c r="D220" s="25" t="str">
        <f t="shared" si="45"/>
        <v>317900</v>
      </c>
      <c r="E220" s="25" t="s">
        <v>227</v>
      </c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>
        <f>VLOOKUP(B:B,'[3]תקבולים 2017'!B:R,15,0)</f>
        <v>0</v>
      </c>
      <c r="Q220" s="26">
        <f>-VLOOKUP(B:B,'[3]דוח כספי 10.17 מעודכן'!A:D,4,0)</f>
        <v>0</v>
      </c>
      <c r="R220" s="26">
        <f>VLOOKUP(B:B,'[3]תקבולים 2017'!B:T,17,0)</f>
        <v>0</v>
      </c>
      <c r="S220" s="26">
        <f t="shared" si="47"/>
        <v>0</v>
      </c>
      <c r="T220" s="164">
        <f>VLOOKUP(B220,'תקבולים 2017'!$A$2:$Q$248,17,0)</f>
        <v>0</v>
      </c>
      <c r="U220" s="27">
        <v>0</v>
      </c>
    </row>
    <row r="221" spans="2:21" ht="15">
      <c r="B221" s="24">
        <v>1318000920</v>
      </c>
      <c r="C221" s="25" t="str">
        <f t="shared" si="44"/>
        <v>920</v>
      </c>
      <c r="D221" s="25" t="str">
        <f t="shared" si="45"/>
        <v>318000</v>
      </c>
      <c r="E221" s="25" t="s">
        <v>228</v>
      </c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>
        <f>VLOOKUP(B:B,'[3]תקבולים 2017'!B:R,15,0)</f>
        <v>6000</v>
      </c>
      <c r="Q221" s="26">
        <f>-VLOOKUP(B:B,'[3]דוח כספי 10.17 מעודכן'!A:D,4,0)</f>
        <v>0</v>
      </c>
      <c r="R221" s="26">
        <f>VLOOKUP(B:B,'[3]תקבולים 2017'!B:T,17,0)</f>
        <v>0</v>
      </c>
      <c r="S221" s="26">
        <f t="shared" si="47"/>
        <v>0</v>
      </c>
      <c r="T221" s="164">
        <f>VLOOKUP(B221,'תקבולים 2017'!$A$2:$Q$248,17,0)</f>
        <v>0</v>
      </c>
      <c r="U221" s="27">
        <v>0</v>
      </c>
    </row>
    <row r="222" spans="2:21" ht="15">
      <c r="B222" s="24">
        <v>1318100740</v>
      </c>
      <c r="C222" s="25" t="str">
        <f t="shared" si="44"/>
        <v>740</v>
      </c>
      <c r="D222" s="25" t="str">
        <f t="shared" si="45"/>
        <v>318100</v>
      </c>
      <c r="E222" s="25" t="s">
        <v>229</v>
      </c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>
        <f>VLOOKUP(B:B,'[3]תקבולים 2017'!B:R,15,0)</f>
        <v>0</v>
      </c>
      <c r="Q222" s="26">
        <f>-VLOOKUP(B:B,'[3]דוח כספי 10.17 מעודכן'!A:D,4,0)</f>
        <v>0</v>
      </c>
      <c r="R222" s="26">
        <f>VLOOKUP(B:B,'[3]תקבולים 2017'!B:T,17,0)</f>
        <v>0</v>
      </c>
      <c r="S222" s="26">
        <f t="shared" si="47"/>
        <v>0</v>
      </c>
      <c r="T222" s="164">
        <f>VLOOKUP(B222,'תקבולים 2017'!$A$2:$Q$248,17,0)</f>
        <v>0</v>
      </c>
      <c r="U222" s="27">
        <v>0</v>
      </c>
    </row>
    <row r="223" spans="2:21" ht="15">
      <c r="B223" s="24">
        <v>1318100920</v>
      </c>
      <c r="C223" s="25" t="str">
        <f t="shared" si="44"/>
        <v>920</v>
      </c>
      <c r="D223" s="25" t="str">
        <f t="shared" si="45"/>
        <v>318100</v>
      </c>
      <c r="E223" s="25" t="s">
        <v>230</v>
      </c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>
        <f>VLOOKUP(B:B,'[3]תקבולים 2017'!B:R,15,0)</f>
        <v>0</v>
      </c>
      <c r="Q223" s="26">
        <f>-VLOOKUP(B:B,'[3]דוח כספי 10.17 מעודכן'!A:D,4,0)</f>
        <v>0</v>
      </c>
      <c r="R223" s="26">
        <f>VLOOKUP(B:B,'[3]תקבולים 2017'!B:T,17,0)</f>
        <v>0</v>
      </c>
      <c r="S223" s="26">
        <f t="shared" si="47"/>
        <v>0</v>
      </c>
      <c r="T223" s="164">
        <f>VLOOKUP(B223,'תקבולים 2017'!$A$2:$Q$248,17,0)</f>
        <v>0</v>
      </c>
      <c r="U223" s="27">
        <v>0</v>
      </c>
    </row>
    <row r="224" spans="2:21" ht="15">
      <c r="B224" s="24">
        <v>1319000920</v>
      </c>
      <c r="C224" s="25" t="str">
        <f t="shared" si="44"/>
        <v>920</v>
      </c>
      <c r="D224" s="25" t="str">
        <f t="shared" si="45"/>
        <v>319000</v>
      </c>
      <c r="E224" s="25" t="s">
        <v>231</v>
      </c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>
        <f>VLOOKUP(B:B,'[3]תקבולים 2017'!B:R,15,0)</f>
        <v>555000</v>
      </c>
      <c r="Q224" s="26">
        <f>-VLOOKUP(B:B,'[3]דוח כספי 10.17 מעודכן'!A:D,4,0)</f>
        <v>529135.63</v>
      </c>
      <c r="R224" s="26">
        <f>VLOOKUP(B:B,'[3]תקבולים 2017'!B:T,17,0)</f>
        <v>530000</v>
      </c>
      <c r="S224" s="26">
        <f t="shared" si="47"/>
        <v>634962.75600000005</v>
      </c>
      <c r="T224" s="164">
        <f>VLOOKUP(B224,'תקבולים 2017'!$A$2:$Q$248,17,0)</f>
        <v>530000</v>
      </c>
      <c r="U224" s="27">
        <v>0</v>
      </c>
    </row>
    <row r="225" spans="2:21" ht="15">
      <c r="B225" s="24">
        <v>1319100920</v>
      </c>
      <c r="C225" s="25" t="str">
        <f>MID(B225,8,3)</f>
        <v>920</v>
      </c>
      <c r="D225" s="25" t="str">
        <f>MID(B225,2,6)</f>
        <v>319100</v>
      </c>
      <c r="E225" s="25" t="s">
        <v>86</v>
      </c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>
        <f>VLOOKUP(B:B,'[3]תקבולים 2017'!B:R,15,0)</f>
        <v>52000</v>
      </c>
      <c r="Q225" s="26">
        <f>-VLOOKUP(B:B,'[3]דוח כספי 10.17 מעודכן'!A:D,4,0)</f>
        <v>47395</v>
      </c>
      <c r="R225" s="26">
        <f>VLOOKUP(B:B,'[3]תקבולים 2017'!B:T,17,0)</f>
        <v>56000</v>
      </c>
      <c r="S225" s="26">
        <f>Q225/10*12</f>
        <v>56874</v>
      </c>
      <c r="T225" s="164">
        <f>VLOOKUP(B225,'תקבולים 2017'!$A$2:$Q$248,17,0)</f>
        <v>56000</v>
      </c>
      <c r="U225" s="27">
        <v>0</v>
      </c>
    </row>
    <row r="226" spans="2:21" ht="15">
      <c r="B226" s="24">
        <v>1319200920</v>
      </c>
      <c r="C226" s="25" t="str">
        <f>MID(B226,8,3)</f>
        <v>920</v>
      </c>
      <c r="D226" s="25" t="str">
        <f>MID(B226,2,6)</f>
        <v>319200</v>
      </c>
      <c r="E226" s="25" t="s">
        <v>233</v>
      </c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>
        <f>VLOOKUP(B:B,'[3]תקבולים 2017'!B:R,15,0)</f>
        <v>0</v>
      </c>
      <c r="Q226" s="26">
        <f>-VLOOKUP(B:B,'[3]דוח כספי 10.17 מעודכן'!A:D,4,0)</f>
        <v>0</v>
      </c>
      <c r="R226" s="26">
        <f>VLOOKUP(B:B,'[3]תקבולים 2017'!B:T,17,0)</f>
        <v>0</v>
      </c>
      <c r="S226" s="26">
        <f>Q226/10*12</f>
        <v>0</v>
      </c>
      <c r="T226" s="164">
        <f>VLOOKUP(B226,'תקבולים 2017'!$A$2:$Q$248,17,0)</f>
        <v>0</v>
      </c>
      <c r="U226" s="27">
        <v>0</v>
      </c>
    </row>
    <row r="227" spans="2:21" ht="15">
      <c r="B227" s="24">
        <v>1319217920</v>
      </c>
      <c r="C227" s="25" t="str">
        <f>MID(B227,8,3)</f>
        <v>920</v>
      </c>
      <c r="D227" s="25" t="str">
        <f>MID(B227,2,6)</f>
        <v>319217</v>
      </c>
      <c r="E227" s="25" t="s">
        <v>234</v>
      </c>
      <c r="F227" s="26"/>
      <c r="G227" s="26"/>
      <c r="H227" s="26"/>
      <c r="I227" s="26"/>
      <c r="J227" s="26"/>
      <c r="K227" s="26"/>
      <c r="L227" s="26"/>
      <c r="M227" s="26"/>
      <c r="N227" s="26"/>
      <c r="O227" s="44"/>
      <c r="P227" s="26">
        <v>0</v>
      </c>
      <c r="Q227" s="26">
        <v>0</v>
      </c>
      <c r="R227" s="26">
        <v>0</v>
      </c>
      <c r="S227" s="26">
        <v>0</v>
      </c>
      <c r="T227" s="164">
        <v>0</v>
      </c>
      <c r="U227" s="27">
        <v>10000</v>
      </c>
    </row>
    <row r="228" spans="2:21" ht="15">
      <c r="B228" s="24">
        <v>1319999920</v>
      </c>
      <c r="C228" s="25" t="str">
        <f>MID(B228,8,3)</f>
        <v>920</v>
      </c>
      <c r="D228" s="25" t="str">
        <f>MID(B228,2,6)</f>
        <v>319999</v>
      </c>
      <c r="E228" s="25" t="s">
        <v>40</v>
      </c>
      <c r="F228" s="26"/>
      <c r="G228" s="26"/>
      <c r="H228" s="26"/>
      <c r="I228" s="26"/>
      <c r="J228" s="26"/>
      <c r="K228" s="26"/>
      <c r="L228" s="26"/>
      <c r="M228" s="26"/>
      <c r="N228" s="26"/>
      <c r="O228" s="44"/>
      <c r="P228" s="26"/>
      <c r="Q228" s="26"/>
      <c r="R228" s="26">
        <v>176000</v>
      </c>
      <c r="S228" s="26"/>
      <c r="T228" s="164">
        <v>0</v>
      </c>
      <c r="U228" s="27">
        <v>181000</v>
      </c>
    </row>
    <row r="229" spans="2:21" ht="15">
      <c r="B229" s="28"/>
      <c r="C229" s="29"/>
      <c r="D229" s="29"/>
      <c r="E229" s="29" t="s">
        <v>68</v>
      </c>
      <c r="F229" s="30">
        <f t="shared" ref="F229:K229" si="48">SUM(F167:F172)</f>
        <v>535000</v>
      </c>
      <c r="G229" s="30">
        <f t="shared" si="48"/>
        <v>879924.6</v>
      </c>
      <c r="H229" s="30">
        <f t="shared" si="48"/>
        <v>1055909.52</v>
      </c>
      <c r="I229" s="30">
        <f t="shared" si="48"/>
        <v>1013303.1359999999</v>
      </c>
      <c r="J229" s="30" t="e">
        <f t="shared" si="48"/>
        <v>#REF!</v>
      </c>
      <c r="K229" s="30" t="e">
        <f t="shared" si="48"/>
        <v>#REF!</v>
      </c>
      <c r="L229" s="30">
        <f>SUM(L167:L226)</f>
        <v>1016000</v>
      </c>
      <c r="M229" s="30">
        <f>SUM(M167:M226)</f>
        <v>888500</v>
      </c>
      <c r="N229" s="30">
        <f>SUM(N167:N226)</f>
        <v>918500</v>
      </c>
      <c r="O229" s="30" t="e">
        <f>SUM(O167:O226)</f>
        <v>#N/A</v>
      </c>
      <c r="P229" s="30">
        <f>SUM(P167:P227)</f>
        <v>10122000</v>
      </c>
      <c r="Q229" s="30">
        <f>SUM(Q167:Q227)</f>
        <v>8410192.1300000008</v>
      </c>
      <c r="R229" s="30">
        <f>SUM(R167:R228)</f>
        <v>9753999.7520000003</v>
      </c>
      <c r="S229" s="30">
        <f>SUM(S167:S227)</f>
        <v>10092230.556000002</v>
      </c>
      <c r="T229" s="31">
        <f>SUM(T167:T228)</f>
        <v>9577999.7520000003</v>
      </c>
      <c r="U229" s="31">
        <f>SUM(U167:U228)</f>
        <v>2706000</v>
      </c>
    </row>
    <row r="230" spans="2:21" ht="15">
      <c r="B230" s="32"/>
      <c r="C230" s="33"/>
      <c r="D230" s="33"/>
      <c r="E230" s="33" t="s">
        <v>235</v>
      </c>
      <c r="F230" s="34" t="e">
        <f>F229+F166+F115+#REF!+#REF!+#REF!+#REF!</f>
        <v>#REF!</v>
      </c>
      <c r="G230" s="34" t="e">
        <f>G229+G166+G115+#REF!+#REF!+#REF!+#REF!</f>
        <v>#REF!</v>
      </c>
      <c r="H230" s="34" t="e">
        <f>H229+H166+H115+#REF!+#REF!+#REF!+#REF!</f>
        <v>#REF!</v>
      </c>
      <c r="I230" s="34" t="e">
        <f>I229+I166+I115+#REF!+#REF!+#REF!+#REF!</f>
        <v>#REF!</v>
      </c>
      <c r="J230" s="34" t="e">
        <f>J229+J166+J115+#REF!+#REF!+#REF!+#REF!</f>
        <v>#REF!</v>
      </c>
      <c r="K230" s="34" t="e">
        <f>K229+K166+K115+#REF!+#REF!+#REF!+#REF!</f>
        <v>#REF!</v>
      </c>
      <c r="L230" s="34" t="e">
        <f>L229+L166+L115+#REF!+#REF!+#REF!+#REF!</f>
        <v>#REF!</v>
      </c>
      <c r="M230" s="34" t="e">
        <f>M229+M166+M115+#REF!+#REF!+#REF!+#REF!</f>
        <v>#REF!</v>
      </c>
      <c r="N230" s="34" t="e">
        <f>N229+N166+N115+#REF!+#REF!+#REF!+#REF!</f>
        <v>#REF!</v>
      </c>
      <c r="O230" s="34" t="e">
        <f>O229+O166+O115+#REF!+#REF!+#REF!+#REF!</f>
        <v>#N/A</v>
      </c>
      <c r="P230" s="34">
        <f t="shared" ref="P230:U230" si="49">P67+P77+P115+P118+P166+P229</f>
        <v>27383000</v>
      </c>
      <c r="Q230" s="34">
        <f t="shared" si="49"/>
        <v>27517970.149999999</v>
      </c>
      <c r="R230" s="34">
        <f t="shared" si="49"/>
        <v>32967000</v>
      </c>
      <c r="S230" s="34">
        <f t="shared" si="49"/>
        <v>33212581.044</v>
      </c>
      <c r="T230" s="35">
        <f t="shared" si="49"/>
        <v>33298999.752</v>
      </c>
      <c r="U230" s="35">
        <f t="shared" si="49"/>
        <v>34266000</v>
      </c>
    </row>
    <row r="231" spans="2:21" ht="15">
      <c r="B231" s="36"/>
      <c r="C231" s="37" t="s">
        <v>236</v>
      </c>
      <c r="D231" s="37"/>
      <c r="E231" s="37"/>
      <c r="F231" s="37"/>
      <c r="G231" s="37"/>
      <c r="H231" s="37"/>
      <c r="I231" s="38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164"/>
      <c r="U231" s="21"/>
    </row>
    <row r="232" spans="2:21" ht="15">
      <c r="B232" s="66">
        <v>1323000920</v>
      </c>
      <c r="C232" s="25" t="str">
        <f t="shared" ref="C232:C244" si="50">MID(B232,8,3)</f>
        <v>920</v>
      </c>
      <c r="D232" s="25" t="str">
        <f t="shared" ref="D232:D244" si="51">MID(B232,2,6)</f>
        <v>323000</v>
      </c>
      <c r="E232" s="25" t="s">
        <v>237</v>
      </c>
      <c r="F232" s="67"/>
      <c r="G232" s="67"/>
      <c r="H232" s="67"/>
      <c r="I232" s="68"/>
      <c r="J232" s="26"/>
      <c r="K232" s="26"/>
      <c r="L232" s="26">
        <v>200000</v>
      </c>
      <c r="M232" s="26">
        <v>178085</v>
      </c>
      <c r="N232" s="26">
        <v>0</v>
      </c>
      <c r="O232" s="26" t="e">
        <f>VLOOKUP(B232,[3]כספי!$A$1:$E$324,5,0)</f>
        <v>#N/A</v>
      </c>
      <c r="P232" s="26">
        <f>VLOOKUP(B:B,'[3]תקבולים 2017'!B:R,15,0)</f>
        <v>79000</v>
      </c>
      <c r="Q232" s="26">
        <f>-VLOOKUP(B:B,'[3]דוח כספי 10.17 מעודכן'!A:D,4,0)</f>
        <v>0</v>
      </c>
      <c r="R232" s="26">
        <f>VLOOKUP(B:B,'[3]תקבולים 2017'!B:T,17,0)</f>
        <v>0</v>
      </c>
      <c r="S232" s="26">
        <f t="shared" ref="S232:S244" si="52">Q232/10*12</f>
        <v>0</v>
      </c>
      <c r="T232" s="164">
        <f>VLOOKUP(B232,'תקבולים 2017'!$A$2:$Q$248,17,0)</f>
        <v>0</v>
      </c>
      <c r="U232" s="27">
        <v>0</v>
      </c>
    </row>
    <row r="233" spans="2:21" ht="15">
      <c r="B233" s="66">
        <v>1323100920</v>
      </c>
      <c r="C233" s="25" t="str">
        <f t="shared" si="50"/>
        <v>920</v>
      </c>
      <c r="D233" s="25" t="str">
        <f t="shared" si="51"/>
        <v>323100</v>
      </c>
      <c r="E233" s="25" t="s">
        <v>238</v>
      </c>
      <c r="F233" s="67"/>
      <c r="G233" s="67"/>
      <c r="H233" s="67"/>
      <c r="I233" s="68"/>
      <c r="J233" s="26"/>
      <c r="K233" s="26"/>
      <c r="L233" s="26"/>
      <c r="M233" s="26"/>
      <c r="N233" s="26"/>
      <c r="O233" s="26" t="e">
        <f>VLOOKUP(B233,[3]כספי!$A$1:$E$324,5,0)</f>
        <v>#N/A</v>
      </c>
      <c r="P233" s="26">
        <f>VLOOKUP(B:B,'[3]תקבולים 2017'!B:R,15,0)</f>
        <v>40000</v>
      </c>
      <c r="Q233" s="26">
        <f>-VLOOKUP(B:B,'[3]דוח כספי 10.17 מעודכן'!A:D,4,0)</f>
        <v>57208</v>
      </c>
      <c r="R233" s="26">
        <f>VLOOKUP(B:B,'[3]תקבולים 2017'!B:T,17,0)</f>
        <v>57000</v>
      </c>
      <c r="S233" s="26">
        <f t="shared" si="52"/>
        <v>68649.600000000006</v>
      </c>
      <c r="T233" s="164">
        <f>VLOOKUP(B233,'תקבולים 2017'!$A$2:$Q$248,17,0)</f>
        <v>57000</v>
      </c>
      <c r="U233" s="27">
        <v>70000</v>
      </c>
    </row>
    <row r="234" spans="2:21" ht="15">
      <c r="B234" s="24">
        <v>1324000420</v>
      </c>
      <c r="C234" s="25" t="str">
        <f t="shared" si="50"/>
        <v>420</v>
      </c>
      <c r="D234" s="25" t="str">
        <f t="shared" si="51"/>
        <v>324000</v>
      </c>
      <c r="E234" s="25" t="s">
        <v>239</v>
      </c>
      <c r="F234" s="26">
        <v>30000</v>
      </c>
      <c r="G234" s="26">
        <v>8716.67</v>
      </c>
      <c r="H234" s="26">
        <v>70000</v>
      </c>
      <c r="I234" s="26">
        <v>160000</v>
      </c>
      <c r="J234" s="26" t="e">
        <f>VLOOKUP(B234,#REF!,6,0)</f>
        <v>#REF!</v>
      </c>
      <c r="K234" s="26" t="e">
        <f>+J234*1.71428571428571</f>
        <v>#REF!</v>
      </c>
      <c r="L234" s="26">
        <v>12000</v>
      </c>
      <c r="M234" s="26">
        <v>12000</v>
      </c>
      <c r="N234" s="26">
        <v>12000</v>
      </c>
      <c r="O234" s="26" t="e">
        <f>VLOOKUP(B234,[3]כספי!$A$1:$E$324,5,0)</f>
        <v>#N/A</v>
      </c>
      <c r="P234" s="26">
        <f>VLOOKUP(B:B,'[3]תקבולים 2017'!B:R,15,0)</f>
        <v>1000</v>
      </c>
      <c r="Q234" s="26">
        <f>-VLOOKUP(B:B,'[3]דוח כספי 10.17 מעודכן'!A:D,4,0)</f>
        <v>750</v>
      </c>
      <c r="R234" s="26">
        <f>VLOOKUP(B:B,'[3]תקבולים 2017'!B:T,17,0)</f>
        <v>1000</v>
      </c>
      <c r="S234" s="26">
        <f t="shared" si="52"/>
        <v>900</v>
      </c>
      <c r="T234" s="164">
        <f>VLOOKUP(B234,'תקבולים 2017'!$A$2:$Q$248,17,0)</f>
        <v>1000</v>
      </c>
      <c r="U234" s="27">
        <v>1000</v>
      </c>
    </row>
    <row r="235" spans="2:21" ht="15">
      <c r="B235" s="24">
        <v>1324000720</v>
      </c>
      <c r="C235" s="25" t="str">
        <f t="shared" si="50"/>
        <v>720</v>
      </c>
      <c r="D235" s="25" t="str">
        <f t="shared" si="51"/>
        <v>324000</v>
      </c>
      <c r="E235" s="25" t="s">
        <v>240</v>
      </c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>
        <f>VLOOKUP(B:B,'[3]תקבולים 2017'!B:R,15,0)</f>
        <v>56000</v>
      </c>
      <c r="Q235" s="26">
        <f>-VLOOKUP(B:B,'[3]דוח כספי 10.17 מעודכן'!A:D,4,0)</f>
        <v>0</v>
      </c>
      <c r="R235" s="26">
        <f>VLOOKUP(B:B,'[3]תקבולים 2017'!B:T,17,0)</f>
        <v>0</v>
      </c>
      <c r="S235" s="26">
        <f t="shared" si="52"/>
        <v>0</v>
      </c>
      <c r="T235" s="164">
        <f>VLOOKUP(B235,'תקבולים 2017'!$A$2:$Q$248,17,0)</f>
        <v>0</v>
      </c>
      <c r="U235" s="27">
        <v>0</v>
      </c>
    </row>
    <row r="236" spans="2:21" ht="15">
      <c r="B236" s="24">
        <v>1324000920</v>
      </c>
      <c r="C236" s="25" t="str">
        <f t="shared" si="50"/>
        <v>920</v>
      </c>
      <c r="D236" s="25" t="str">
        <f t="shared" si="51"/>
        <v>324000</v>
      </c>
      <c r="E236" s="25" t="s">
        <v>241</v>
      </c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>
        <f>VLOOKUP(B:B,'[3]תקבולים 2017'!B:R,15,0)</f>
        <v>121000</v>
      </c>
      <c r="Q236" s="26">
        <f>-VLOOKUP(B:B,'[3]דוח כספי 10.17 מעודכן'!A:D,4,0)</f>
        <v>37676.720000000001</v>
      </c>
      <c r="R236" s="26">
        <f>VLOOKUP(B:B,'[3]תקבולים 2017'!B:T,17,0)</f>
        <v>45000</v>
      </c>
      <c r="S236" s="26">
        <f t="shared" si="52"/>
        <v>45212.063999999998</v>
      </c>
      <c r="T236" s="164">
        <f>VLOOKUP(B236,'תקבולים 2017'!$A$2:$Q$248,17,0)</f>
        <v>45000</v>
      </c>
      <c r="U236" s="27">
        <v>0</v>
      </c>
    </row>
    <row r="237" spans="2:21" ht="15">
      <c r="B237" s="24">
        <v>1324100410</v>
      </c>
      <c r="C237" s="25" t="str">
        <f t="shared" si="50"/>
        <v>410</v>
      </c>
      <c r="D237" s="25" t="str">
        <f t="shared" si="51"/>
        <v>324100</v>
      </c>
      <c r="E237" s="25" t="s">
        <v>242</v>
      </c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>
        <f>VLOOKUP(B:B,'[3]תקבולים 2017'!B:R,15,0)</f>
        <v>0</v>
      </c>
      <c r="Q237" s="26">
        <f>-VLOOKUP(B:B,'[3]דוח כספי 10.17 מעודכן'!A:D,4,0)</f>
        <v>140</v>
      </c>
      <c r="R237" s="26">
        <f>VLOOKUP(B:B,'[3]תקבולים 2017'!B:T,17,0)</f>
        <v>1000</v>
      </c>
      <c r="S237" s="26">
        <f t="shared" si="52"/>
        <v>168</v>
      </c>
      <c r="T237" s="164">
        <f>VLOOKUP(B237,'תקבולים 2017'!$A$2:$Q$248,17,0)</f>
        <v>1000</v>
      </c>
      <c r="U237" s="27">
        <v>1000</v>
      </c>
    </row>
    <row r="238" spans="2:21" ht="15">
      <c r="B238" s="24">
        <v>1324100920</v>
      </c>
      <c r="C238" s="25" t="str">
        <f t="shared" si="50"/>
        <v>920</v>
      </c>
      <c r="D238" s="25" t="str">
        <f t="shared" si="51"/>
        <v>324100</v>
      </c>
      <c r="E238" s="25" t="s">
        <v>243</v>
      </c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>
        <f>VLOOKUP(B:B,'[3]תקבולים 2017'!B:R,15,0)</f>
        <v>0</v>
      </c>
      <c r="Q238" s="26">
        <f>-VLOOKUP(B:B,'[3]דוח כספי 10.17 מעודכן'!A:D,4,0)</f>
        <v>0</v>
      </c>
      <c r="R238" s="26">
        <f>VLOOKUP(B:B,'[3]תקבולים 2017'!B:T,17,0)</f>
        <v>0</v>
      </c>
      <c r="S238" s="26">
        <f t="shared" si="52"/>
        <v>0</v>
      </c>
      <c r="T238" s="164">
        <f>VLOOKUP(B238,'תקבולים 2017'!$A$2:$Q$248,17,0)</f>
        <v>0</v>
      </c>
      <c r="U238" s="27">
        <v>0</v>
      </c>
    </row>
    <row r="239" spans="2:21" ht="15">
      <c r="B239" s="24">
        <v>1328000810</v>
      </c>
      <c r="C239" s="25" t="str">
        <f t="shared" si="50"/>
        <v>810</v>
      </c>
      <c r="D239" s="25" t="str">
        <f t="shared" si="51"/>
        <v>328000</v>
      </c>
      <c r="E239" s="25" t="s">
        <v>244</v>
      </c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>
        <f>VLOOKUP(B:B,'[3]תקבולים 2017'!B:R,15,0)</f>
        <v>0</v>
      </c>
      <c r="Q239" s="26">
        <f>-VLOOKUP(B:B,'[3]דוח כספי 10.17 מעודכן'!A:D,4,0)</f>
        <v>0</v>
      </c>
      <c r="R239" s="26">
        <f>VLOOKUP(B:B,'[3]תקבולים 2017'!B:T,17,0)</f>
        <v>0</v>
      </c>
      <c r="S239" s="26">
        <f t="shared" si="52"/>
        <v>0</v>
      </c>
      <c r="T239" s="164">
        <f>VLOOKUP(B239,'תקבולים 2017'!$A$2:$Q$248,17,0)</f>
        <v>0</v>
      </c>
      <c r="U239" s="27">
        <v>0</v>
      </c>
    </row>
    <row r="240" spans="2:21" ht="15">
      <c r="B240" s="24">
        <v>1328000920</v>
      </c>
      <c r="C240" s="25" t="str">
        <f t="shared" si="50"/>
        <v>920</v>
      </c>
      <c r="D240" s="25" t="str">
        <f t="shared" si="51"/>
        <v>328000</v>
      </c>
      <c r="E240" s="25" t="s">
        <v>245</v>
      </c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>
        <f>VLOOKUP(B:B,'[3]תקבולים 2017'!B:R,15,0)</f>
        <v>89000</v>
      </c>
      <c r="Q240" s="26">
        <f>-VLOOKUP(B:B,'[3]דוח כספי 10.17 מעודכן'!A:D,4,0)</f>
        <v>0</v>
      </c>
      <c r="R240" s="26">
        <f>VLOOKUP(B:B,'[3]תקבולים 2017'!B:T,17,0)</f>
        <v>0</v>
      </c>
      <c r="S240" s="26">
        <f t="shared" si="52"/>
        <v>0</v>
      </c>
      <c r="T240" s="164">
        <f>VLOOKUP(B240,'תקבולים 2017'!$A$2:$Q$248,17,0)</f>
        <v>0</v>
      </c>
      <c r="U240" s="27">
        <v>0</v>
      </c>
    </row>
    <row r="241" spans="2:21" ht="15">
      <c r="B241" s="24">
        <v>1329000420</v>
      </c>
      <c r="C241" s="25" t="str">
        <f t="shared" si="50"/>
        <v>420</v>
      </c>
      <c r="D241" s="25" t="str">
        <f t="shared" si="51"/>
        <v>329000</v>
      </c>
      <c r="E241" s="25" t="s">
        <v>246</v>
      </c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>
        <f>VLOOKUP(B:B,'[3]תקבולים 2017'!B:R,15,0)</f>
        <v>14000</v>
      </c>
      <c r="Q241" s="26">
        <f>-VLOOKUP(B:B,'[3]דוח כספי 10.17 מעודכן'!A:D,4,0)</f>
        <v>15820</v>
      </c>
      <c r="R241" s="26">
        <f>VLOOKUP(B:B,'[3]תקבולים 2017'!B:T,17,0)</f>
        <v>19000</v>
      </c>
      <c r="S241" s="26">
        <f t="shared" si="52"/>
        <v>18984</v>
      </c>
      <c r="T241" s="164">
        <f>VLOOKUP(B241,'תקבולים 2017'!$A$2:$Q$248,17,0)</f>
        <v>19000</v>
      </c>
      <c r="U241" s="27">
        <v>19000</v>
      </c>
    </row>
    <row r="242" spans="2:21" ht="15">
      <c r="B242" s="24">
        <v>1329000920</v>
      </c>
      <c r="C242" s="25" t="str">
        <f t="shared" si="50"/>
        <v>920</v>
      </c>
      <c r="D242" s="25" t="str">
        <f t="shared" si="51"/>
        <v>329000</v>
      </c>
      <c r="E242" s="25" t="s">
        <v>247</v>
      </c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>
        <f>VLOOKUP(B:B,'[3]תקבולים 2017'!B:R,15,0)</f>
        <v>0</v>
      </c>
      <c r="Q242" s="26">
        <f>-VLOOKUP(B:B,'[3]דוח כספי 10.17 מעודכן'!A:D,4,0)</f>
        <v>30000</v>
      </c>
      <c r="R242" s="26">
        <f>VLOOKUP(B:B,'[3]תקבולים 2017'!B:T,17,0)</f>
        <v>36000</v>
      </c>
      <c r="S242" s="26">
        <f t="shared" si="52"/>
        <v>36000</v>
      </c>
      <c r="T242" s="164">
        <f>VLOOKUP(B242,'תקבולים 2017'!$A$2:$Q$248,17,0)</f>
        <v>36000</v>
      </c>
      <c r="U242" s="27">
        <v>36000</v>
      </c>
    </row>
    <row r="243" spans="2:21" ht="15">
      <c r="B243" s="24">
        <v>1329900710</v>
      </c>
      <c r="C243" s="25" t="str">
        <f t="shared" si="50"/>
        <v>710</v>
      </c>
      <c r="D243" s="25" t="str">
        <f t="shared" si="51"/>
        <v>329900</v>
      </c>
      <c r="E243" s="25" t="s">
        <v>248</v>
      </c>
      <c r="F243" s="26">
        <v>5000</v>
      </c>
      <c r="G243" s="26"/>
      <c r="H243" s="26">
        <f>G243*12/10</f>
        <v>0</v>
      </c>
      <c r="I243" s="26">
        <f>H243</f>
        <v>0</v>
      </c>
      <c r="J243" s="26" t="e">
        <f>VLOOKUP(B243,#REF!,6,0)</f>
        <v>#REF!</v>
      </c>
      <c r="K243" s="26">
        <v>30000</v>
      </c>
      <c r="L243" s="26">
        <v>30000</v>
      </c>
      <c r="M243" s="26">
        <v>40000</v>
      </c>
      <c r="N243" s="26">
        <f>40000+150000</f>
        <v>190000</v>
      </c>
      <c r="O243" s="26" t="e">
        <f>VLOOKUP(B243,[3]כספי!$A$1:$E$324,5,0)</f>
        <v>#N/A</v>
      </c>
      <c r="P243" s="26">
        <f>VLOOKUP(B:B,'[3]תקבולים 2017'!B:R,15,0)</f>
        <v>0</v>
      </c>
      <c r="Q243" s="26">
        <f>-VLOOKUP(B:B,'[3]דוח כספי 10.17 מעודכן'!A:D,4,0)</f>
        <v>0</v>
      </c>
      <c r="R243" s="26">
        <f>VLOOKUP(B:B,'[3]תקבולים 2017'!B:T,17,0)</f>
        <v>0</v>
      </c>
      <c r="S243" s="26">
        <f t="shared" si="52"/>
        <v>0</v>
      </c>
      <c r="T243" s="164">
        <f>VLOOKUP(B243,'תקבולים 2017'!$A$2:$Q$248,17,0)</f>
        <v>0</v>
      </c>
      <c r="U243" s="27">
        <v>0</v>
      </c>
    </row>
    <row r="244" spans="2:21" ht="15">
      <c r="B244" s="24">
        <v>1329910710</v>
      </c>
      <c r="C244" s="25" t="str">
        <f t="shared" si="50"/>
        <v>710</v>
      </c>
      <c r="D244" s="25" t="str">
        <f t="shared" si="51"/>
        <v>329910</v>
      </c>
      <c r="E244" s="25" t="s">
        <v>236</v>
      </c>
      <c r="F244" s="26"/>
      <c r="G244" s="26"/>
      <c r="H244" s="26"/>
      <c r="I244" s="26">
        <v>50000</v>
      </c>
      <c r="J244" s="26" t="e">
        <f>VLOOKUP(B244,#REF!,6,0)</f>
        <v>#REF!</v>
      </c>
      <c r="K244" s="26" t="e">
        <f>+J244*1.71428571428571</f>
        <v>#REF!</v>
      </c>
      <c r="L244" s="26">
        <v>50000</v>
      </c>
      <c r="M244" s="26">
        <v>0</v>
      </c>
      <c r="N244" s="26">
        <v>0</v>
      </c>
      <c r="O244" s="26" t="e">
        <f>VLOOKUP(B244,[3]כספי!$A$1:$E$324,5,0)</f>
        <v>#N/A</v>
      </c>
      <c r="P244" s="26">
        <f>VLOOKUP(B:B,'[3]תקבולים 2017'!B:R,15,0)</f>
        <v>85000</v>
      </c>
      <c r="Q244" s="26">
        <f>-VLOOKUP(B:B,'[3]דוח כספי 10.17 מעודכן'!A:D,4,0)</f>
        <v>0</v>
      </c>
      <c r="R244" s="26">
        <f>VLOOKUP(B:B,'[3]תקבולים 2017'!B:T,17,0)</f>
        <v>0</v>
      </c>
      <c r="S244" s="26">
        <f t="shared" si="52"/>
        <v>0</v>
      </c>
      <c r="T244" s="164">
        <f>VLOOKUP(B244,'תקבולים 2017'!$A$2:$Q$248,17,0)</f>
        <v>0</v>
      </c>
      <c r="U244" s="27">
        <v>0</v>
      </c>
    </row>
    <row r="245" spans="2:21" ht="15">
      <c r="B245" s="32"/>
      <c r="C245" s="33"/>
      <c r="D245" s="33"/>
      <c r="E245" s="33" t="s">
        <v>249</v>
      </c>
      <c r="F245" s="34">
        <f t="shared" ref="F245:K245" si="53">SUM(F234:F244)</f>
        <v>35000</v>
      </c>
      <c r="G245" s="34">
        <f t="shared" si="53"/>
        <v>8716.67</v>
      </c>
      <c r="H245" s="34">
        <f t="shared" si="53"/>
        <v>70000</v>
      </c>
      <c r="I245" s="34">
        <f t="shared" si="53"/>
        <v>210000</v>
      </c>
      <c r="J245" s="34" t="e">
        <f t="shared" si="53"/>
        <v>#REF!</v>
      </c>
      <c r="K245" s="34" t="e">
        <f t="shared" si="53"/>
        <v>#REF!</v>
      </c>
      <c r="L245" s="34">
        <f t="shared" ref="L245:S245" si="54">SUM(L232:L244)</f>
        <v>292000</v>
      </c>
      <c r="M245" s="34">
        <f t="shared" si="54"/>
        <v>230085</v>
      </c>
      <c r="N245" s="34">
        <f t="shared" si="54"/>
        <v>202000</v>
      </c>
      <c r="O245" s="34" t="e">
        <f t="shared" si="54"/>
        <v>#N/A</v>
      </c>
      <c r="P245" s="34">
        <f t="shared" si="54"/>
        <v>485000</v>
      </c>
      <c r="Q245" s="34">
        <f t="shared" si="54"/>
        <v>141594.72</v>
      </c>
      <c r="R245" s="34">
        <f t="shared" si="54"/>
        <v>159000</v>
      </c>
      <c r="S245" s="34">
        <f t="shared" si="54"/>
        <v>169913.66399999999</v>
      </c>
      <c r="T245" s="35">
        <f>SUM(T232:T244)</f>
        <v>159000</v>
      </c>
      <c r="U245" s="35">
        <f>SUM(U232:U244)</f>
        <v>127000</v>
      </c>
    </row>
    <row r="246" spans="2:21" ht="15">
      <c r="B246" s="36"/>
      <c r="C246" s="37" t="s">
        <v>250</v>
      </c>
      <c r="D246" s="37"/>
      <c r="E246" s="37"/>
      <c r="F246" s="37"/>
      <c r="G246" s="37"/>
      <c r="H246" s="37"/>
      <c r="I246" s="38"/>
      <c r="J246" s="20">
        <v>0</v>
      </c>
      <c r="K246" s="20"/>
      <c r="L246" s="20"/>
      <c r="M246" s="20"/>
      <c r="N246" s="20"/>
      <c r="O246" s="20"/>
      <c r="P246" s="20"/>
      <c r="Q246" s="20"/>
      <c r="R246" s="20"/>
      <c r="S246" s="20"/>
      <c r="T246" s="164"/>
      <c r="U246" s="21"/>
    </row>
    <row r="247" spans="2:21" ht="15">
      <c r="B247" s="18">
        <v>1332300940</v>
      </c>
      <c r="C247" s="19" t="str">
        <f>MID(B247,8,3)</f>
        <v>940</v>
      </c>
      <c r="D247" s="19" t="str">
        <f>MID(B247,2,6)</f>
        <v>332300</v>
      </c>
      <c r="E247" s="19" t="s">
        <v>251</v>
      </c>
      <c r="F247" s="20">
        <v>20000</v>
      </c>
      <c r="G247" s="20"/>
      <c r="H247" s="20">
        <f>G247*12/10</f>
        <v>0</v>
      </c>
      <c r="I247" s="20">
        <f>H247</f>
        <v>0</v>
      </c>
      <c r="J247" s="20">
        <v>0</v>
      </c>
      <c r="K247" s="20">
        <f>+J247*1.71428571428571</f>
        <v>0</v>
      </c>
      <c r="L247" s="20">
        <v>0</v>
      </c>
      <c r="M247" s="20">
        <v>0</v>
      </c>
      <c r="N247" s="20">
        <v>0</v>
      </c>
      <c r="O247" s="69"/>
      <c r="P247" s="20">
        <f>VLOOKUP(B:B,'[3]תקבולים 2017'!B:R,15,0)</f>
        <v>101000</v>
      </c>
      <c r="Q247" s="20">
        <f>-VLOOKUP(B:B,'[3]דוח כספי 10.17 מעודכן'!A:D,4,0)</f>
        <v>48797.5</v>
      </c>
      <c r="R247" s="20">
        <f>VLOOKUP(B:B,'[3]תקבולים 2017'!B:T,17,0)</f>
        <v>59000</v>
      </c>
      <c r="S247" s="20">
        <f>Q247/10*12</f>
        <v>58557</v>
      </c>
      <c r="T247" s="164">
        <f>VLOOKUP(B247,'תקבולים 2017'!$A$2:$Q$248,17,0)</f>
        <v>59000</v>
      </c>
      <c r="U247" s="21">
        <v>60000</v>
      </c>
    </row>
    <row r="248" spans="2:21" ht="15">
      <c r="B248" s="32"/>
      <c r="C248" s="33"/>
      <c r="D248" s="33"/>
      <c r="E248" s="33" t="s">
        <v>252</v>
      </c>
      <c r="F248" s="34">
        <f>SUM(F247)</f>
        <v>20000</v>
      </c>
      <c r="G248" s="34">
        <f>SUM(G247)</f>
        <v>0</v>
      </c>
      <c r="H248" s="34">
        <f>SUM(H247)</f>
        <v>0</v>
      </c>
      <c r="I248" s="34">
        <f>SUM(I247)</f>
        <v>0</v>
      </c>
      <c r="J248" s="34">
        <f>SUM(J247)</f>
        <v>0</v>
      </c>
      <c r="K248" s="34">
        <f t="shared" ref="K248:R248" si="55">SUM(K247)</f>
        <v>0</v>
      </c>
      <c r="L248" s="34">
        <f t="shared" si="55"/>
        <v>0</v>
      </c>
      <c r="M248" s="34">
        <f t="shared" si="55"/>
        <v>0</v>
      </c>
      <c r="N248" s="34">
        <f t="shared" si="55"/>
        <v>0</v>
      </c>
      <c r="O248" s="34">
        <f t="shared" si="55"/>
        <v>0</v>
      </c>
      <c r="P248" s="34">
        <f t="shared" si="55"/>
        <v>101000</v>
      </c>
      <c r="Q248" s="34">
        <f t="shared" si="55"/>
        <v>48797.5</v>
      </c>
      <c r="R248" s="34">
        <f t="shared" si="55"/>
        <v>59000</v>
      </c>
      <c r="S248" s="34">
        <f>SUM(S247)</f>
        <v>58557</v>
      </c>
      <c r="T248" s="35">
        <f>SUM(T247)</f>
        <v>59000</v>
      </c>
      <c r="U248" s="35">
        <f>SUM(U247)</f>
        <v>60000</v>
      </c>
    </row>
    <row r="249" spans="2:21" ht="15">
      <c r="B249" s="36"/>
      <c r="C249" s="37" t="s">
        <v>253</v>
      </c>
      <c r="D249" s="37"/>
      <c r="E249" s="37"/>
      <c r="F249" s="37"/>
      <c r="G249" s="37"/>
      <c r="H249" s="37"/>
      <c r="I249" s="38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164"/>
      <c r="U249" s="21"/>
    </row>
    <row r="250" spans="2:21" ht="15">
      <c r="B250" s="24">
        <v>1341000930</v>
      </c>
      <c r="C250" s="25" t="str">
        <f>MID(B250,8,3)</f>
        <v>930</v>
      </c>
      <c r="D250" s="25" t="str">
        <f>MID(B250,2,6)</f>
        <v>341000</v>
      </c>
      <c r="E250" s="25" t="s">
        <v>254</v>
      </c>
      <c r="F250" s="26">
        <v>631000</v>
      </c>
      <c r="G250" s="26">
        <v>535731</v>
      </c>
      <c r="H250" s="26">
        <f>G250*12/10</f>
        <v>642877.19999999995</v>
      </c>
      <c r="I250" s="26">
        <v>650000</v>
      </c>
      <c r="J250" s="26" t="e">
        <f>VLOOKUP(B250,#REF!,6,0)</f>
        <v>#REF!</v>
      </c>
      <c r="K250" s="26" t="e">
        <f>+J250*1.71428571428571</f>
        <v>#REF!</v>
      </c>
      <c r="L250" s="26">
        <v>650000</v>
      </c>
      <c r="M250" s="26">
        <v>650000</v>
      </c>
      <c r="N250" s="26">
        <v>650000</v>
      </c>
      <c r="O250" s="44">
        <f>VLOOKUP(B250,[3]כספי!$A$1:$E$324,5,0)</f>
        <v>309547</v>
      </c>
      <c r="P250" s="26">
        <f>VLOOKUP(B:B,'[3]תקבולים 2017'!B:R,15,0)</f>
        <v>964000</v>
      </c>
      <c r="Q250" s="26">
        <f>-VLOOKUP(B:B,'[3]דוח כספי 10.17 מעודכן'!A:D,4,0)</f>
        <v>797683</v>
      </c>
      <c r="R250" s="26">
        <f>VLOOKUP(B:B,'[3]תקבולים 2017'!B:T,17,0)</f>
        <v>957000</v>
      </c>
      <c r="S250" s="26">
        <f>Q250/10*12</f>
        <v>957219.60000000009</v>
      </c>
      <c r="T250" s="164">
        <f>VLOOKUP(B250,'תקבולים 2017'!$A$2:$Q$248,17,0)</f>
        <v>957000</v>
      </c>
      <c r="U250" s="27">
        <v>958000</v>
      </c>
    </row>
    <row r="251" spans="2:21" ht="15">
      <c r="B251" s="18">
        <v>1341100930</v>
      </c>
      <c r="C251" s="19" t="str">
        <f>MID(B251,8,3)</f>
        <v>930</v>
      </c>
      <c r="D251" s="19" t="str">
        <f>MID(B251,2,6)</f>
        <v>341100</v>
      </c>
      <c r="E251" s="19" t="s">
        <v>255</v>
      </c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>
        <f>VLOOKUP(B:B,'[3]תקבולים 2017'!B:R,15,0)</f>
        <v>4000</v>
      </c>
      <c r="Q251" s="20">
        <f>-VLOOKUP(B:B,'[3]דוח כספי 10.17 מעודכן'!A:D,4,0)</f>
        <v>0</v>
      </c>
      <c r="R251" s="20">
        <f>VLOOKUP(B:B,'[3]תקבולים 2017'!B:T,17,0)</f>
        <v>0</v>
      </c>
      <c r="S251" s="20">
        <f>Q251/10*12</f>
        <v>0</v>
      </c>
      <c r="T251" s="164">
        <f>VLOOKUP(B251,'תקבולים 2017'!$A$2:$Q$248,17,0)</f>
        <v>0</v>
      </c>
      <c r="U251" s="21">
        <v>0</v>
      </c>
    </row>
    <row r="252" spans="2:21" ht="15">
      <c r="B252" s="18">
        <v>1341200930</v>
      </c>
      <c r="C252" s="19" t="str">
        <f>MID(B252,8,3)</f>
        <v>930</v>
      </c>
      <c r="D252" s="19" t="str">
        <f>MID(B252,2,6)</f>
        <v>341200</v>
      </c>
      <c r="E252" s="19" t="s">
        <v>256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>
        <f>VLOOKUP(B:B,'[3]תקבולים 2017'!B:R,15,0)</f>
        <v>0</v>
      </c>
      <c r="Q252" s="20">
        <f>-VLOOKUP(B:B,'[3]דוח כספי 10.17 מעודכן'!A:D,4,0)</f>
        <v>0</v>
      </c>
      <c r="R252" s="20">
        <f>VLOOKUP(B:B,'[3]תקבולים 2017'!B:T,17,0)</f>
        <v>0</v>
      </c>
      <c r="S252" s="20">
        <f>Q252/10*12</f>
        <v>0</v>
      </c>
      <c r="T252" s="164">
        <f>VLOOKUP(B252,'תקבולים 2017'!$A$2:$Q$248,17,0)</f>
        <v>0</v>
      </c>
      <c r="U252" s="21">
        <v>0</v>
      </c>
    </row>
    <row r="253" spans="2:21" ht="15">
      <c r="B253" s="28"/>
      <c r="C253" s="29"/>
      <c r="D253" s="29"/>
      <c r="E253" s="29" t="s">
        <v>257</v>
      </c>
      <c r="F253" s="30">
        <f t="shared" ref="F253:O253" si="56">SUM(F250:F250)</f>
        <v>631000</v>
      </c>
      <c r="G253" s="30">
        <f t="shared" si="56"/>
        <v>535731</v>
      </c>
      <c r="H253" s="30">
        <f t="shared" si="56"/>
        <v>642877.19999999995</v>
      </c>
      <c r="I253" s="30">
        <f t="shared" si="56"/>
        <v>650000</v>
      </c>
      <c r="J253" s="30" t="e">
        <f t="shared" si="56"/>
        <v>#REF!</v>
      </c>
      <c r="K253" s="30" t="e">
        <f t="shared" si="56"/>
        <v>#REF!</v>
      </c>
      <c r="L253" s="30">
        <f t="shared" si="56"/>
        <v>650000</v>
      </c>
      <c r="M253" s="30">
        <f t="shared" si="56"/>
        <v>650000</v>
      </c>
      <c r="N253" s="30">
        <f t="shared" si="56"/>
        <v>650000</v>
      </c>
      <c r="O253" s="30">
        <f t="shared" si="56"/>
        <v>309547</v>
      </c>
      <c r="P253" s="30">
        <f t="shared" ref="P253:S253" si="57">SUM(P250:P252)</f>
        <v>968000</v>
      </c>
      <c r="Q253" s="30">
        <f t="shared" si="57"/>
        <v>797683</v>
      </c>
      <c r="R253" s="30">
        <f t="shared" si="57"/>
        <v>957000</v>
      </c>
      <c r="S253" s="30">
        <f t="shared" si="57"/>
        <v>957219.60000000009</v>
      </c>
      <c r="T253" s="31">
        <f>SUM(T250:T252)</f>
        <v>957000</v>
      </c>
      <c r="U253" s="31">
        <f>SUM(U250:U252)</f>
        <v>958000</v>
      </c>
    </row>
    <row r="254" spans="2:21" ht="15">
      <c r="B254" s="24">
        <v>1342001930</v>
      </c>
      <c r="C254" s="25" t="str">
        <f t="shared" ref="C254:C270" si="58">MID(B254,8,3)</f>
        <v>930</v>
      </c>
      <c r="D254" s="25" t="str">
        <f t="shared" ref="D254:D270" si="59">MID(B254,2,6)</f>
        <v>342001</v>
      </c>
      <c r="E254" s="25" t="s">
        <v>258</v>
      </c>
      <c r="F254" s="26"/>
      <c r="G254" s="26"/>
      <c r="H254" s="26"/>
      <c r="I254" s="26"/>
      <c r="J254" s="26"/>
      <c r="K254" s="26"/>
      <c r="L254" s="26"/>
      <c r="M254" s="26"/>
      <c r="N254" s="26"/>
      <c r="O254" s="44"/>
      <c r="P254" s="26">
        <v>0</v>
      </c>
      <c r="Q254" s="26">
        <v>0</v>
      </c>
      <c r="R254" s="26">
        <v>0</v>
      </c>
      <c r="S254" s="26">
        <v>0</v>
      </c>
      <c r="T254" s="164">
        <v>0</v>
      </c>
      <c r="U254" s="27">
        <v>162000</v>
      </c>
    </row>
    <row r="255" spans="2:21" ht="15">
      <c r="B255" s="24">
        <v>1342003930</v>
      </c>
      <c r="C255" s="25" t="str">
        <f t="shared" si="58"/>
        <v>930</v>
      </c>
      <c r="D255" s="25" t="str">
        <f t="shared" si="59"/>
        <v>342003</v>
      </c>
      <c r="E255" s="25" t="s">
        <v>259</v>
      </c>
      <c r="F255" s="26"/>
      <c r="G255" s="26"/>
      <c r="H255" s="26"/>
      <c r="I255" s="26"/>
      <c r="J255" s="26"/>
      <c r="K255" s="26"/>
      <c r="L255" s="26"/>
      <c r="M255" s="26"/>
      <c r="N255" s="26"/>
      <c r="O255" s="44"/>
      <c r="P255" s="26">
        <v>0</v>
      </c>
      <c r="Q255" s="26">
        <v>0</v>
      </c>
      <c r="R255" s="26">
        <v>0</v>
      </c>
      <c r="S255" s="26">
        <v>0</v>
      </c>
      <c r="T255" s="164">
        <v>0</v>
      </c>
      <c r="U255" s="27">
        <v>30000</v>
      </c>
    </row>
    <row r="256" spans="2:21" ht="15">
      <c r="B256" s="24">
        <v>1342004930</v>
      </c>
      <c r="C256" s="25" t="str">
        <f t="shared" si="58"/>
        <v>930</v>
      </c>
      <c r="D256" s="25" t="str">
        <f t="shared" si="59"/>
        <v>342004</v>
      </c>
      <c r="E256" s="25" t="s">
        <v>260</v>
      </c>
      <c r="F256" s="26"/>
      <c r="G256" s="26"/>
      <c r="H256" s="26"/>
      <c r="I256" s="26"/>
      <c r="J256" s="26"/>
      <c r="K256" s="26"/>
      <c r="L256" s="26"/>
      <c r="M256" s="26"/>
      <c r="N256" s="26"/>
      <c r="O256" s="44"/>
      <c r="P256" s="26">
        <v>0</v>
      </c>
      <c r="Q256" s="26">
        <v>0</v>
      </c>
      <c r="R256" s="26">
        <v>0</v>
      </c>
      <c r="S256" s="26">
        <v>0</v>
      </c>
      <c r="T256" s="164">
        <v>0</v>
      </c>
      <c r="U256" s="27">
        <v>30000</v>
      </c>
    </row>
    <row r="257" spans="2:21" ht="15">
      <c r="B257" s="24">
        <v>1342005930</v>
      </c>
      <c r="C257" s="25" t="str">
        <f t="shared" si="58"/>
        <v>930</v>
      </c>
      <c r="D257" s="25" t="str">
        <f t="shared" si="59"/>
        <v>342005</v>
      </c>
      <c r="E257" s="25" t="s">
        <v>261</v>
      </c>
      <c r="F257" s="26"/>
      <c r="G257" s="26"/>
      <c r="H257" s="26"/>
      <c r="I257" s="26"/>
      <c r="J257" s="26"/>
      <c r="K257" s="26"/>
      <c r="L257" s="26"/>
      <c r="M257" s="26"/>
      <c r="N257" s="26"/>
      <c r="O257" s="44"/>
      <c r="P257" s="26">
        <v>0</v>
      </c>
      <c r="Q257" s="26">
        <v>0</v>
      </c>
      <c r="R257" s="26">
        <v>0</v>
      </c>
      <c r="S257" s="26">
        <v>0</v>
      </c>
      <c r="T257" s="164">
        <v>0</v>
      </c>
      <c r="U257" s="27">
        <v>43000</v>
      </c>
    </row>
    <row r="258" spans="2:21" ht="15">
      <c r="B258" s="24">
        <v>1342008930</v>
      </c>
      <c r="C258" s="25" t="str">
        <f t="shared" si="58"/>
        <v>930</v>
      </c>
      <c r="D258" s="25" t="str">
        <f t="shared" si="59"/>
        <v>342008</v>
      </c>
      <c r="E258" s="25" t="s">
        <v>262</v>
      </c>
      <c r="F258" s="26"/>
      <c r="G258" s="26"/>
      <c r="H258" s="26"/>
      <c r="I258" s="26"/>
      <c r="J258" s="26"/>
      <c r="K258" s="26"/>
      <c r="L258" s="26"/>
      <c r="M258" s="26"/>
      <c r="N258" s="26"/>
      <c r="O258" s="44"/>
      <c r="P258" s="26">
        <v>0</v>
      </c>
      <c r="Q258" s="26">
        <v>0</v>
      </c>
      <c r="R258" s="26">
        <v>0</v>
      </c>
      <c r="S258" s="26">
        <v>0</v>
      </c>
      <c r="T258" s="164">
        <v>0</v>
      </c>
      <c r="U258" s="27">
        <v>21000</v>
      </c>
    </row>
    <row r="259" spans="2:21" ht="15">
      <c r="B259" s="24">
        <v>1342200930</v>
      </c>
      <c r="C259" s="25" t="str">
        <f t="shared" si="58"/>
        <v>930</v>
      </c>
      <c r="D259" s="25" t="str">
        <f t="shared" si="59"/>
        <v>342200</v>
      </c>
      <c r="E259" s="25" t="s">
        <v>260</v>
      </c>
      <c r="F259" s="26">
        <v>22000</v>
      </c>
      <c r="G259" s="26">
        <v>13081</v>
      </c>
      <c r="H259" s="26">
        <f>G259*12/10</f>
        <v>15697.2</v>
      </c>
      <c r="I259" s="26">
        <f>H259</f>
        <v>15697.2</v>
      </c>
      <c r="J259" s="26" t="e">
        <f>VLOOKUP(B259,#REF!,6,0)</f>
        <v>#REF!</v>
      </c>
      <c r="K259" s="26" t="e">
        <f>+J259*1.71428571428571</f>
        <v>#REF!</v>
      </c>
      <c r="L259" s="26">
        <v>11254</v>
      </c>
      <c r="M259" s="26">
        <v>13300</v>
      </c>
      <c r="N259" s="26">
        <v>13300</v>
      </c>
      <c r="O259" s="26">
        <f>VLOOKUP(B259,[3]כספי!$A$1:$E$324,5,0)</f>
        <v>12534</v>
      </c>
      <c r="P259" s="26">
        <f>VLOOKUP(B:B,'[3]תקבולים 2017'!B:R,15,0)</f>
        <v>79000</v>
      </c>
      <c r="Q259" s="26">
        <f>-VLOOKUP(B:B,'[3]דוח כספי 10.17 מעודכן'!A:D,4,0)</f>
        <v>139402</v>
      </c>
      <c r="R259" s="26">
        <f>VLOOKUP(B:B,'[3]תקבולים 2017'!B:T,17,0)</f>
        <v>167000</v>
      </c>
      <c r="S259" s="26">
        <f t="shared" ref="S259:S267" si="60">Q259/10*12</f>
        <v>167282.40000000002</v>
      </c>
      <c r="T259" s="164">
        <f>VLOOKUP(B259,'תקבולים 2017'!$A$2:$Q$248,17,0)</f>
        <v>167000</v>
      </c>
      <c r="U259" s="27">
        <v>0</v>
      </c>
    </row>
    <row r="260" spans="2:21" ht="15">
      <c r="B260" s="24">
        <v>1342210220</v>
      </c>
      <c r="C260" s="25" t="str">
        <f t="shared" si="58"/>
        <v>220</v>
      </c>
      <c r="D260" s="25" t="str">
        <f t="shared" si="59"/>
        <v>342210</v>
      </c>
      <c r="E260" s="25" t="s">
        <v>264</v>
      </c>
      <c r="F260" s="26"/>
      <c r="G260" s="26"/>
      <c r="H260" s="26"/>
      <c r="I260" s="26"/>
      <c r="J260" s="26"/>
      <c r="K260" s="26"/>
      <c r="L260" s="26"/>
      <c r="M260" s="26"/>
      <c r="N260" s="26"/>
      <c r="O260" s="26" t="e">
        <f>VLOOKUP(B260,[3]כספי!$A$1:$E$324,5,0)</f>
        <v>#N/A</v>
      </c>
      <c r="P260" s="26">
        <f>VLOOKUP(B:B,'[3]תקבולים 2017'!B:R,15,0)</f>
        <v>0</v>
      </c>
      <c r="Q260" s="26">
        <f>-VLOOKUP(B:B,'[3]דוח כספי 10.17 מעודכן'!A:D,4,0)</f>
        <v>0</v>
      </c>
      <c r="R260" s="26">
        <f>VLOOKUP(B:B,'[3]תקבולים 2017'!B:T,17,0)</f>
        <v>0</v>
      </c>
      <c r="S260" s="26">
        <f t="shared" si="60"/>
        <v>0</v>
      </c>
      <c r="T260" s="164">
        <f>VLOOKUP(B260,'תקבולים 2017'!$A$2:$Q$248,17,0)</f>
        <v>0</v>
      </c>
      <c r="U260" s="27">
        <v>0</v>
      </c>
    </row>
    <row r="261" spans="2:21" ht="15">
      <c r="B261" s="24">
        <v>1342210930</v>
      </c>
      <c r="C261" s="25" t="str">
        <f t="shared" si="58"/>
        <v>930</v>
      </c>
      <c r="D261" s="25" t="str">
        <f t="shared" si="59"/>
        <v>342210</v>
      </c>
      <c r="E261" s="25" t="s">
        <v>265</v>
      </c>
      <c r="F261" s="26">
        <v>18000</v>
      </c>
      <c r="G261" s="26">
        <v>3297</v>
      </c>
      <c r="H261" s="26">
        <f>G261*12/10</f>
        <v>3956.4</v>
      </c>
      <c r="I261" s="26">
        <f>H261</f>
        <v>3956.4</v>
      </c>
      <c r="J261" s="26" t="e">
        <f>VLOOKUP(B261,#REF!,6,0)</f>
        <v>#REF!</v>
      </c>
      <c r="K261" s="26" t="e">
        <f>+J261*1.71428571428571</f>
        <v>#REF!</v>
      </c>
      <c r="L261" s="26">
        <v>9750</v>
      </c>
      <c r="M261" s="26">
        <v>8300</v>
      </c>
      <c r="N261" s="26">
        <v>8300</v>
      </c>
      <c r="O261" s="26" t="e">
        <f>VLOOKUP(B261,[3]כספי!$A$1:$E$324,5,0)</f>
        <v>#N/A</v>
      </c>
      <c r="P261" s="26">
        <f>VLOOKUP(B:B,'[3]תקבולים 2017'!B:R,15,0)</f>
        <v>0</v>
      </c>
      <c r="Q261" s="26">
        <f>-VLOOKUP(B:B,'[3]דוח כספי 10.17 מעודכן'!A:D,4,0)</f>
        <v>0</v>
      </c>
      <c r="R261" s="26">
        <f>VLOOKUP(B:B,'[3]תקבולים 2017'!B:T,17,0)</f>
        <v>0</v>
      </c>
      <c r="S261" s="26">
        <f t="shared" si="60"/>
        <v>0</v>
      </c>
      <c r="T261" s="164">
        <f>VLOOKUP(B261,'תקבולים 2017'!$A$2:$Q$248,17,0)</f>
        <v>0</v>
      </c>
      <c r="U261" s="27">
        <v>0</v>
      </c>
    </row>
    <row r="262" spans="2:21" ht="15">
      <c r="B262" s="24">
        <v>1342220930</v>
      </c>
      <c r="C262" s="25" t="str">
        <f t="shared" si="58"/>
        <v>930</v>
      </c>
      <c r="D262" s="25" t="str">
        <f t="shared" si="59"/>
        <v>342220</v>
      </c>
      <c r="E262" s="25" t="s">
        <v>261</v>
      </c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>
        <f>VLOOKUP(B:B,'[3]תקבולים 2017'!B:R,15,0)</f>
        <v>79000</v>
      </c>
      <c r="Q262" s="26">
        <f>-VLOOKUP(B:B,'[3]דוח כספי 10.17 מעודכן'!A:D,4,0)</f>
        <v>170740</v>
      </c>
      <c r="R262" s="26">
        <f>VLOOKUP(B:B,'[3]תקבולים 2017'!B:T,17,0)</f>
        <v>205000</v>
      </c>
      <c r="S262" s="26">
        <f t="shared" si="60"/>
        <v>204888</v>
      </c>
      <c r="T262" s="164">
        <f>VLOOKUP(B262,'תקבולים 2017'!$A$2:$Q$248,17,0)</f>
        <v>205000</v>
      </c>
      <c r="U262" s="27">
        <v>0</v>
      </c>
    </row>
    <row r="263" spans="2:21" ht="15">
      <c r="B263" s="24">
        <v>1342221930</v>
      </c>
      <c r="C263" s="25" t="str">
        <f t="shared" si="58"/>
        <v>930</v>
      </c>
      <c r="D263" s="25" t="str">
        <f t="shared" si="59"/>
        <v>342221</v>
      </c>
      <c r="E263" s="25" t="s">
        <v>266</v>
      </c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>
        <f>VLOOKUP(B:B,'[3]תקבולים 2017'!B:R,15,0)</f>
        <v>190000</v>
      </c>
      <c r="Q263" s="26">
        <f>-VLOOKUP(B:B,'[3]דוח כספי 10.17 מעודכן'!A:D,4,0)</f>
        <v>183794</v>
      </c>
      <c r="R263" s="26">
        <f>VLOOKUP(B:B,'[3]תקבולים 2017'!B:T,17,0)</f>
        <v>220000</v>
      </c>
      <c r="S263" s="26">
        <f t="shared" si="60"/>
        <v>220552.80000000002</v>
      </c>
      <c r="T263" s="164">
        <f>VLOOKUP(B263,'תקבולים 2017'!$A$2:$Q$248,17,0)</f>
        <v>220000</v>
      </c>
      <c r="U263" s="27">
        <v>0</v>
      </c>
    </row>
    <row r="264" spans="2:21" ht="15">
      <c r="B264" s="66">
        <v>1342222930</v>
      </c>
      <c r="C264" s="25" t="str">
        <f t="shared" si="58"/>
        <v>930</v>
      </c>
      <c r="D264" s="25" t="str">
        <f t="shared" si="59"/>
        <v>342222</v>
      </c>
      <c r="E264" s="25" t="s">
        <v>267</v>
      </c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>
        <f>VLOOKUP(B:B,'[3]תקבולים 2017'!B:R,15,0)</f>
        <v>0</v>
      </c>
      <c r="Q264" s="26">
        <f>-VLOOKUP(B:B,'[3]דוח כספי 10.17 מעודכן'!A:D,4,0)</f>
        <v>0</v>
      </c>
      <c r="R264" s="26">
        <f>VLOOKUP(B:B,'[3]תקבולים 2017'!B:T,17,0)</f>
        <v>0</v>
      </c>
      <c r="S264" s="26">
        <f t="shared" si="60"/>
        <v>0</v>
      </c>
      <c r="T264" s="164">
        <f>VLOOKUP(B264,'תקבולים 2017'!$A$2:$Q$248,17,0)</f>
        <v>0</v>
      </c>
      <c r="U264" s="27">
        <v>0</v>
      </c>
    </row>
    <row r="265" spans="2:21" ht="15">
      <c r="B265" s="66">
        <v>1342230930</v>
      </c>
      <c r="C265" s="25" t="str">
        <f t="shared" si="58"/>
        <v>930</v>
      </c>
      <c r="D265" s="25" t="str">
        <f t="shared" si="59"/>
        <v>342230</v>
      </c>
      <c r="E265" s="25" t="s">
        <v>268</v>
      </c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>
        <f>VLOOKUP(B:B,'[3]תקבולים 2017'!B:R,15,0)</f>
        <v>144000</v>
      </c>
      <c r="Q265" s="26">
        <f>-VLOOKUP(B:B,'[3]דוח כספי 10.17 מעודכן'!A:D,4,0)</f>
        <v>0</v>
      </c>
      <c r="R265" s="26">
        <f>VLOOKUP(B:B,'[3]תקבולים 2017'!B:T,17,0)</f>
        <v>0</v>
      </c>
      <c r="S265" s="26">
        <f t="shared" si="60"/>
        <v>0</v>
      </c>
      <c r="T265" s="164">
        <f>VLOOKUP(B265,'תקבולים 2017'!$A$2:$Q$248,17,0)</f>
        <v>0</v>
      </c>
      <c r="U265" s="27">
        <v>0</v>
      </c>
    </row>
    <row r="266" spans="2:21" ht="15">
      <c r="B266" s="24">
        <v>1342300930</v>
      </c>
      <c r="C266" s="25" t="str">
        <f t="shared" si="58"/>
        <v>930</v>
      </c>
      <c r="D266" s="25" t="str">
        <f t="shared" si="59"/>
        <v>342300</v>
      </c>
      <c r="E266" s="25" t="s">
        <v>269</v>
      </c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>
        <f>VLOOKUP(B:B,'[3]תקבולים 2017'!B:R,15,0)</f>
        <v>194000</v>
      </c>
      <c r="Q266" s="26">
        <f>-VLOOKUP(B:B,'[3]דוח כספי 10.17 מעודכן'!A:D,4,0)</f>
        <v>152231</v>
      </c>
      <c r="R266" s="26">
        <f>VLOOKUP(B:B,'[3]תקבולים 2017'!B:T,17,0)</f>
        <v>183000</v>
      </c>
      <c r="S266" s="26">
        <f t="shared" si="60"/>
        <v>182677.2</v>
      </c>
      <c r="T266" s="164">
        <f>VLOOKUP(B266,'תקבולים 2017'!$A$2:$Q$248,17,0)</f>
        <v>183000</v>
      </c>
      <c r="U266" s="27">
        <v>0</v>
      </c>
    </row>
    <row r="267" spans="2:21" ht="15">
      <c r="B267" s="24">
        <v>1342500930</v>
      </c>
      <c r="C267" s="25" t="str">
        <f t="shared" si="58"/>
        <v>930</v>
      </c>
      <c r="D267" s="25" t="str">
        <f t="shared" si="59"/>
        <v>342500</v>
      </c>
      <c r="E267" s="25" t="s">
        <v>270</v>
      </c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>
        <f>VLOOKUP(B:B,'[3]תקבולים 2017'!B:R,15,0)</f>
        <v>27000</v>
      </c>
      <c r="Q267" s="26">
        <f>-VLOOKUP(B:B,'[3]דוח כספי 10.17 מעודכן'!A:D,4,0)</f>
        <v>16820</v>
      </c>
      <c r="R267" s="26">
        <f>VLOOKUP(B:B,'[3]תקבולים 2017'!B:T,17,0)</f>
        <v>20000</v>
      </c>
      <c r="S267" s="26">
        <f t="shared" si="60"/>
        <v>20184</v>
      </c>
      <c r="T267" s="164">
        <f>VLOOKUP(B267,'תקבולים 2017'!$A$2:$Q$248,17,0)</f>
        <v>20000</v>
      </c>
      <c r="U267" s="27">
        <v>0</v>
      </c>
    </row>
    <row r="268" spans="2:21" ht="15">
      <c r="B268" s="24">
        <v>1342501930</v>
      </c>
      <c r="C268" s="25" t="str">
        <f t="shared" si="58"/>
        <v>930</v>
      </c>
      <c r="D268" s="25" t="str">
        <f t="shared" si="59"/>
        <v>342501</v>
      </c>
      <c r="E268" s="25" t="s">
        <v>271</v>
      </c>
      <c r="F268" s="26"/>
      <c r="G268" s="26"/>
      <c r="H268" s="26"/>
      <c r="I268" s="26"/>
      <c r="J268" s="26"/>
      <c r="K268" s="26"/>
      <c r="L268" s="26"/>
      <c r="M268" s="26"/>
      <c r="N268" s="26"/>
      <c r="O268" s="44"/>
      <c r="P268" s="26">
        <v>0</v>
      </c>
      <c r="Q268" s="26">
        <v>0</v>
      </c>
      <c r="R268" s="26">
        <v>0</v>
      </c>
      <c r="S268" s="26">
        <v>0</v>
      </c>
      <c r="T268" s="164">
        <v>0</v>
      </c>
      <c r="U268" s="27">
        <v>58000</v>
      </c>
    </row>
    <row r="269" spans="2:21" ht="15">
      <c r="B269" s="66">
        <v>1342600930</v>
      </c>
      <c r="C269" s="25" t="str">
        <f t="shared" si="58"/>
        <v>930</v>
      </c>
      <c r="D269" s="25" t="str">
        <f t="shared" si="59"/>
        <v>342600</v>
      </c>
      <c r="E269" s="25" t="s">
        <v>272</v>
      </c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>
        <f>VLOOKUP(B:B,'[3]תקבולים 2017'!B:R,15,0)</f>
        <v>1333000</v>
      </c>
      <c r="Q269" s="26">
        <f>-VLOOKUP(B:B,'[3]דוח כספי 10.17 מעודכן'!A:D,4,0)</f>
        <v>216894</v>
      </c>
      <c r="R269" s="26">
        <f>VLOOKUP(B:B,'[3]תקבולים 2017'!B:T,17,0)</f>
        <v>1302000</v>
      </c>
      <c r="S269" s="26">
        <f>Q269/10*12</f>
        <v>260272.80000000002</v>
      </c>
      <c r="T269" s="164">
        <f>VLOOKUP(B269,'תקבולים 2017'!$A$2:$Q$248,17,0)</f>
        <v>1302000</v>
      </c>
      <c r="U269" s="27">
        <v>1302000</v>
      </c>
    </row>
    <row r="270" spans="2:21" ht="15">
      <c r="B270" s="70">
        <v>1342650930</v>
      </c>
      <c r="C270" s="19" t="str">
        <f t="shared" si="58"/>
        <v>930</v>
      </c>
      <c r="D270" s="19" t="str">
        <f t="shared" si="59"/>
        <v>342650</v>
      </c>
      <c r="E270" s="19" t="s">
        <v>273</v>
      </c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>
        <f>VLOOKUP(B:B,'[3]תקבולים 2017'!B:R,15,0)</f>
        <v>0</v>
      </c>
      <c r="Q270" s="20">
        <f>-VLOOKUP(B:B,'[3]דוח כספי 10.17 מעודכן'!A:D,4,0)</f>
        <v>0</v>
      </c>
      <c r="R270" s="20">
        <f>VLOOKUP(B:B,'[3]תקבולים 2017'!B:T,17,0)</f>
        <v>0</v>
      </c>
      <c r="S270" s="20">
        <f>Q270/10*12</f>
        <v>0</v>
      </c>
      <c r="T270" s="164">
        <f>VLOOKUP(B270,'תקבולים 2017'!$A$2:$Q$248,17,0)</f>
        <v>0</v>
      </c>
      <c r="U270" s="21">
        <v>0</v>
      </c>
    </row>
    <row r="271" spans="2:21" ht="15">
      <c r="B271" s="28"/>
      <c r="C271" s="29"/>
      <c r="D271" s="29"/>
      <c r="E271" s="29" t="s">
        <v>274</v>
      </c>
      <c r="F271" s="30">
        <f t="shared" ref="F271:K271" si="61">SUM(F259:F261)</f>
        <v>40000</v>
      </c>
      <c r="G271" s="30">
        <f t="shared" si="61"/>
        <v>16378</v>
      </c>
      <c r="H271" s="30">
        <f t="shared" si="61"/>
        <v>19653.600000000002</v>
      </c>
      <c r="I271" s="30">
        <f t="shared" si="61"/>
        <v>19653.600000000002</v>
      </c>
      <c r="J271" s="30" t="e">
        <f t="shared" si="61"/>
        <v>#REF!</v>
      </c>
      <c r="K271" s="30" t="e">
        <f t="shared" si="61"/>
        <v>#REF!</v>
      </c>
      <c r="L271" s="30">
        <f t="shared" ref="L271:O271" si="62">SUM(L259:L270)</f>
        <v>21004</v>
      </c>
      <c r="M271" s="30">
        <f t="shared" si="62"/>
        <v>21600</v>
      </c>
      <c r="N271" s="30">
        <f t="shared" si="62"/>
        <v>21600</v>
      </c>
      <c r="O271" s="30" t="e">
        <f t="shared" si="62"/>
        <v>#N/A</v>
      </c>
      <c r="P271" s="30">
        <f t="shared" ref="P271:S271" si="63">SUM(P254:P270)</f>
        <v>2046000</v>
      </c>
      <c r="Q271" s="30">
        <f t="shared" si="63"/>
        <v>879881</v>
      </c>
      <c r="R271" s="30">
        <f t="shared" si="63"/>
        <v>2097000</v>
      </c>
      <c r="S271" s="30">
        <f t="shared" si="63"/>
        <v>1055857.2000000002</v>
      </c>
      <c r="T271" s="31">
        <f>SUM(T254:T270)</f>
        <v>2097000</v>
      </c>
      <c r="U271" s="31">
        <f>SUM(U254:U270)</f>
        <v>1646000</v>
      </c>
    </row>
    <row r="272" spans="2:21" ht="15">
      <c r="B272" s="24">
        <v>1343002930</v>
      </c>
      <c r="C272" s="25" t="str">
        <f t="shared" ref="C272:C284" si="64">MID(B272,8,3)</f>
        <v>930</v>
      </c>
      <c r="D272" s="25" t="str">
        <f t="shared" ref="D272:D284" si="65">MID(B272,2,6)</f>
        <v>343002</v>
      </c>
      <c r="E272" s="25" t="s">
        <v>275</v>
      </c>
      <c r="F272" s="26"/>
      <c r="G272" s="26"/>
      <c r="H272" s="26"/>
      <c r="I272" s="26"/>
      <c r="J272" s="26"/>
      <c r="K272" s="26"/>
      <c r="L272" s="26"/>
      <c r="M272" s="26"/>
      <c r="N272" s="26"/>
      <c r="O272" s="44"/>
      <c r="P272" s="26">
        <v>0</v>
      </c>
      <c r="Q272" s="26">
        <v>0</v>
      </c>
      <c r="R272" s="26">
        <v>0</v>
      </c>
      <c r="S272" s="26">
        <v>0</v>
      </c>
      <c r="T272" s="164">
        <v>0</v>
      </c>
      <c r="U272" s="27">
        <v>17000</v>
      </c>
    </row>
    <row r="273" spans="2:21" ht="15">
      <c r="B273" s="24">
        <v>1343004930</v>
      </c>
      <c r="C273" s="25" t="str">
        <f t="shared" si="64"/>
        <v>930</v>
      </c>
      <c r="D273" s="25" t="str">
        <f t="shared" si="65"/>
        <v>343004</v>
      </c>
      <c r="E273" s="25" t="s">
        <v>276</v>
      </c>
      <c r="F273" s="26"/>
      <c r="G273" s="26"/>
      <c r="H273" s="26"/>
      <c r="I273" s="26"/>
      <c r="J273" s="26"/>
      <c r="K273" s="26"/>
      <c r="L273" s="26"/>
      <c r="M273" s="26"/>
      <c r="N273" s="26"/>
      <c r="O273" s="44"/>
      <c r="P273" s="26">
        <v>0</v>
      </c>
      <c r="Q273" s="26">
        <v>0</v>
      </c>
      <c r="R273" s="26">
        <v>0</v>
      </c>
      <c r="S273" s="26">
        <v>0</v>
      </c>
      <c r="T273" s="164">
        <v>0</v>
      </c>
      <c r="U273" s="27">
        <v>717000</v>
      </c>
    </row>
    <row r="274" spans="2:21" ht="15">
      <c r="B274" s="24">
        <v>1343007930</v>
      </c>
      <c r="C274" s="25" t="str">
        <f t="shared" si="64"/>
        <v>930</v>
      </c>
      <c r="D274" s="25" t="str">
        <f t="shared" si="65"/>
        <v>343007</v>
      </c>
      <c r="E274" s="25" t="s">
        <v>277</v>
      </c>
      <c r="F274" s="26"/>
      <c r="G274" s="26"/>
      <c r="H274" s="26"/>
      <c r="I274" s="26"/>
      <c r="J274" s="26"/>
      <c r="K274" s="26"/>
      <c r="L274" s="26"/>
      <c r="M274" s="26"/>
      <c r="N274" s="26"/>
      <c r="O274" s="44"/>
      <c r="P274" s="26">
        <v>0</v>
      </c>
      <c r="Q274" s="26">
        <v>0</v>
      </c>
      <c r="R274" s="26">
        <v>0</v>
      </c>
      <c r="S274" s="26">
        <v>0</v>
      </c>
      <c r="T274" s="164">
        <v>0</v>
      </c>
      <c r="U274" s="27">
        <v>233000</v>
      </c>
    </row>
    <row r="275" spans="2:21" ht="15">
      <c r="B275" s="24">
        <v>1343101930</v>
      </c>
      <c r="C275" s="25" t="str">
        <f t="shared" si="64"/>
        <v>930</v>
      </c>
      <c r="D275" s="25" t="str">
        <f t="shared" si="65"/>
        <v>343101</v>
      </c>
      <c r="E275" s="25" t="s">
        <v>278</v>
      </c>
      <c r="F275" s="26"/>
      <c r="G275" s="26"/>
      <c r="H275" s="26"/>
      <c r="I275" s="26"/>
      <c r="J275" s="26"/>
      <c r="K275" s="26"/>
      <c r="L275" s="26"/>
      <c r="M275" s="26"/>
      <c r="N275" s="26"/>
      <c r="O275" s="44"/>
      <c r="P275" s="26">
        <v>0</v>
      </c>
      <c r="Q275" s="26">
        <v>0</v>
      </c>
      <c r="R275" s="26">
        <v>0</v>
      </c>
      <c r="S275" s="26">
        <v>0</v>
      </c>
      <c r="T275" s="164">
        <v>0</v>
      </c>
      <c r="U275" s="27">
        <v>380000</v>
      </c>
    </row>
    <row r="276" spans="2:21" ht="15">
      <c r="B276" s="24">
        <v>1343102930</v>
      </c>
      <c r="C276" s="25" t="str">
        <f t="shared" si="64"/>
        <v>930</v>
      </c>
      <c r="D276" s="25" t="str">
        <f t="shared" si="65"/>
        <v>343102</v>
      </c>
      <c r="E276" s="25" t="s">
        <v>279</v>
      </c>
      <c r="F276" s="26"/>
      <c r="G276" s="26"/>
      <c r="H276" s="26"/>
      <c r="I276" s="26"/>
      <c r="J276" s="26"/>
      <c r="K276" s="26"/>
      <c r="L276" s="26"/>
      <c r="M276" s="26"/>
      <c r="N276" s="26"/>
      <c r="O276" s="44"/>
      <c r="P276" s="26">
        <v>0</v>
      </c>
      <c r="Q276" s="26">
        <v>0</v>
      </c>
      <c r="R276" s="26">
        <v>0</v>
      </c>
      <c r="S276" s="26">
        <v>0</v>
      </c>
      <c r="T276" s="164">
        <v>0</v>
      </c>
      <c r="U276" s="27">
        <v>84000</v>
      </c>
    </row>
    <row r="277" spans="2:21" ht="15">
      <c r="B277" s="24">
        <v>1343105930</v>
      </c>
      <c r="C277" s="25" t="str">
        <f t="shared" si="64"/>
        <v>930</v>
      </c>
      <c r="D277" s="25" t="str">
        <f t="shared" si="65"/>
        <v>343105</v>
      </c>
      <c r="E277" s="25" t="s">
        <v>280</v>
      </c>
      <c r="F277" s="26"/>
      <c r="G277" s="26"/>
      <c r="H277" s="26"/>
      <c r="I277" s="26"/>
      <c r="J277" s="26"/>
      <c r="K277" s="26"/>
      <c r="L277" s="26"/>
      <c r="M277" s="26"/>
      <c r="N277" s="26"/>
      <c r="O277" s="44"/>
      <c r="P277" s="26">
        <v>0</v>
      </c>
      <c r="Q277" s="26">
        <v>0</v>
      </c>
      <c r="R277" s="26">
        <v>0</v>
      </c>
      <c r="S277" s="26">
        <v>0</v>
      </c>
      <c r="T277" s="164">
        <v>0</v>
      </c>
      <c r="U277" s="27">
        <v>80000</v>
      </c>
    </row>
    <row r="278" spans="2:21" ht="15">
      <c r="B278" s="24">
        <v>1343500220</v>
      </c>
      <c r="C278" s="25" t="str">
        <f t="shared" si="64"/>
        <v>220</v>
      </c>
      <c r="D278" s="25" t="str">
        <f t="shared" si="65"/>
        <v>343500</v>
      </c>
      <c r="E278" s="25" t="s">
        <v>281</v>
      </c>
      <c r="F278" s="26">
        <v>515000</v>
      </c>
      <c r="G278" s="26">
        <v>236153</v>
      </c>
      <c r="H278" s="26">
        <f>314987+78834</f>
        <v>393821</v>
      </c>
      <c r="I278" s="26">
        <v>410000</v>
      </c>
      <c r="J278" s="26" t="e">
        <f>VLOOKUP(B278,#REF!,6,0)</f>
        <v>#REF!</v>
      </c>
      <c r="K278" s="26" t="e">
        <f>+J278*1.71428571428571</f>
        <v>#REF!</v>
      </c>
      <c r="L278" s="26">
        <v>410000</v>
      </c>
      <c r="M278" s="26">
        <v>400000</v>
      </c>
      <c r="N278" s="26">
        <v>400000</v>
      </c>
      <c r="O278" s="26" t="e">
        <f>VLOOKUP(B278,[3]כספי!$A$1:$E$324,5,0)</f>
        <v>#N/A</v>
      </c>
      <c r="P278" s="26">
        <f>VLOOKUP(B:B,'[3]תקבולים 2017'!B:R,15,0)</f>
        <v>13000</v>
      </c>
      <c r="Q278" s="26">
        <f>-VLOOKUP(B:B,'[3]דוח כספי 10.17 מעודכן'!A:D,4,0)</f>
        <v>0</v>
      </c>
      <c r="R278" s="26">
        <f>VLOOKUP(B:B,'[3]תקבולים 2017'!B:T,17,0)</f>
        <v>0</v>
      </c>
      <c r="S278" s="26">
        <f>Q278/10*12</f>
        <v>0</v>
      </c>
      <c r="T278" s="164">
        <f>VLOOKUP(B278,'תקבולים 2017'!$A$2:$Q$248,17,0)</f>
        <v>0</v>
      </c>
      <c r="U278" s="27">
        <v>0</v>
      </c>
    </row>
    <row r="279" spans="2:21" ht="15">
      <c r="B279" s="24">
        <v>1343500930</v>
      </c>
      <c r="C279" s="25" t="str">
        <f t="shared" si="64"/>
        <v>930</v>
      </c>
      <c r="D279" s="25" t="str">
        <f t="shared" si="65"/>
        <v>343500</v>
      </c>
      <c r="E279" s="25" t="s">
        <v>282</v>
      </c>
      <c r="F279" s="26"/>
      <c r="G279" s="26"/>
      <c r="H279" s="26"/>
      <c r="I279" s="26"/>
      <c r="J279" s="26">
        <v>739</v>
      </c>
      <c r="K279" s="26">
        <f>+J279*1.71428571428571</f>
        <v>1266.8571428571397</v>
      </c>
      <c r="L279" s="26">
        <v>2177</v>
      </c>
      <c r="M279" s="26">
        <v>1300</v>
      </c>
      <c r="N279" s="26">
        <v>1300</v>
      </c>
      <c r="O279" s="26" t="e">
        <f>VLOOKUP(B279,[3]כספי!$A$1:$E$324,5,0)</f>
        <v>#N/A</v>
      </c>
      <c r="P279" s="26">
        <f>VLOOKUP(B:B,'[3]תקבולים 2017'!B:R,15,0)</f>
        <v>91000</v>
      </c>
      <c r="Q279" s="26">
        <f>-VLOOKUP(B:B,'[3]דוח כספי 10.17 מעודכן'!A:D,4,0)</f>
        <v>19381</v>
      </c>
      <c r="R279" s="26">
        <f>VLOOKUP(B:B,'[3]תקבולים 2017'!B:T,17,0)</f>
        <v>23000</v>
      </c>
      <c r="S279" s="26">
        <f>Q279/10*12</f>
        <v>23257.199999999997</v>
      </c>
      <c r="T279" s="164">
        <f>VLOOKUP(B279,'תקבולים 2017'!$A$2:$Q$248,17,0)</f>
        <v>23000</v>
      </c>
      <c r="U279" s="27">
        <v>0</v>
      </c>
    </row>
    <row r="280" spans="2:21" ht="15">
      <c r="B280" s="24">
        <v>1343510930</v>
      </c>
      <c r="C280" s="25" t="str">
        <f t="shared" si="64"/>
        <v>930</v>
      </c>
      <c r="D280" s="25" t="str">
        <f t="shared" si="65"/>
        <v>343510</v>
      </c>
      <c r="E280" s="25" t="s">
        <v>278</v>
      </c>
      <c r="F280" s="26">
        <v>294000</v>
      </c>
      <c r="G280" s="26">
        <v>424094</v>
      </c>
      <c r="H280" s="26">
        <f>G280*12/10</f>
        <v>508912.8</v>
      </c>
      <c r="I280" s="26">
        <v>520000</v>
      </c>
      <c r="J280" s="26" t="e">
        <f>VLOOKUP(B280,#REF!,6,0)</f>
        <v>#REF!</v>
      </c>
      <c r="K280" s="26" t="e">
        <f>+J280*1.71428571428571</f>
        <v>#REF!</v>
      </c>
      <c r="L280" s="26">
        <v>375000</v>
      </c>
      <c r="M280" s="26">
        <v>376000</v>
      </c>
      <c r="N280" s="26">
        <v>376000</v>
      </c>
      <c r="O280" s="26">
        <f>VLOOKUP(B280,[3]כספי!$A$1:$E$324,5,0)</f>
        <v>276</v>
      </c>
      <c r="P280" s="26">
        <f>VLOOKUP(B:B,'[3]תקבולים 2017'!B:R,15,0)</f>
        <v>437000</v>
      </c>
      <c r="Q280" s="26">
        <f>-VLOOKUP(B:B,'[3]דוח כספי 10.17 מעודכן'!A:D,4,0)</f>
        <v>339199</v>
      </c>
      <c r="R280" s="26">
        <f>VLOOKUP(B:B,'[3]תקבולים 2017'!B:T,17,0)</f>
        <v>407000</v>
      </c>
      <c r="S280" s="26">
        <f>Q280/10*12</f>
        <v>407038.80000000005</v>
      </c>
      <c r="T280" s="164">
        <f>VLOOKUP(B280,'תקבולים 2017'!$A$2:$Q$248,17,0)</f>
        <v>407000</v>
      </c>
      <c r="U280" s="27">
        <v>0</v>
      </c>
    </row>
    <row r="281" spans="2:21" ht="15">
      <c r="B281" s="24">
        <v>1343800930</v>
      </c>
      <c r="C281" s="25" t="str">
        <f t="shared" si="64"/>
        <v>930</v>
      </c>
      <c r="D281" s="25" t="str">
        <f t="shared" si="65"/>
        <v>343800</v>
      </c>
      <c r="E281" s="25" t="s">
        <v>276</v>
      </c>
      <c r="F281" s="26"/>
      <c r="G281" s="26">
        <v>24010</v>
      </c>
      <c r="H281" s="26">
        <f>G281*12/10</f>
        <v>28812</v>
      </c>
      <c r="I281" s="26">
        <v>30000</v>
      </c>
      <c r="J281" s="26" t="e">
        <f>VLOOKUP(B281,#REF!,6,0)</f>
        <v>#REF!</v>
      </c>
      <c r="K281" s="26" t="e">
        <f>+J281*1.71428571428571</f>
        <v>#REF!</v>
      </c>
      <c r="L281" s="26">
        <v>20000</v>
      </c>
      <c r="M281" s="26">
        <v>30000</v>
      </c>
      <c r="N281" s="26">
        <v>30000</v>
      </c>
      <c r="O281" s="26">
        <f>VLOOKUP(B281,[3]כספי!$A$1:$E$324,5,0)</f>
        <v>310351</v>
      </c>
      <c r="P281" s="26">
        <f>VLOOKUP(B:B,'[3]תקבולים 2017'!B:R,15,0)</f>
        <v>226000</v>
      </c>
      <c r="Q281" s="26">
        <f>-VLOOKUP(B:B,'[3]דוח כספי 10.17 מעודכן'!A:D,4,0)</f>
        <v>596859</v>
      </c>
      <c r="R281" s="26">
        <f>VLOOKUP(B:B,'[3]תקבולים 2017'!B:T,17,0)</f>
        <v>716000</v>
      </c>
      <c r="S281" s="26">
        <f>Q281/10*12</f>
        <v>716230.8</v>
      </c>
      <c r="T281" s="164">
        <f>VLOOKUP(B281,'תקבולים 2017'!$A$2:$Q$248,17,0)</f>
        <v>716000</v>
      </c>
      <c r="U281" s="27">
        <v>0</v>
      </c>
    </row>
    <row r="282" spans="2:21" ht="15">
      <c r="B282" s="24">
        <v>1343810930</v>
      </c>
      <c r="C282" s="25" t="str">
        <f t="shared" si="64"/>
        <v>930</v>
      </c>
      <c r="D282" s="25" t="str">
        <f t="shared" si="65"/>
        <v>343810</v>
      </c>
      <c r="E282" s="25" t="s">
        <v>284</v>
      </c>
      <c r="F282" s="26"/>
      <c r="G282" s="26"/>
      <c r="H282" s="26"/>
      <c r="I282" s="26"/>
      <c r="J282" s="26"/>
      <c r="K282" s="26"/>
      <c r="L282" s="26"/>
      <c r="M282" s="26"/>
      <c r="N282" s="26"/>
      <c r="O282" s="44"/>
      <c r="P282" s="26">
        <v>0</v>
      </c>
      <c r="Q282" s="26">
        <v>0</v>
      </c>
      <c r="R282" s="26">
        <v>0</v>
      </c>
      <c r="S282" s="26">
        <v>0</v>
      </c>
      <c r="T282" s="164">
        <v>0</v>
      </c>
      <c r="U282" s="27">
        <v>183000</v>
      </c>
    </row>
    <row r="283" spans="2:21" ht="15">
      <c r="B283" s="24">
        <v>1343900930</v>
      </c>
      <c r="C283" s="25" t="str">
        <f t="shared" si="64"/>
        <v>930</v>
      </c>
      <c r="D283" s="25" t="str">
        <f t="shared" si="65"/>
        <v>343900</v>
      </c>
      <c r="E283" s="25" t="s">
        <v>285</v>
      </c>
      <c r="F283" s="26">
        <v>268000</v>
      </c>
      <c r="G283" s="26">
        <v>190188</v>
      </c>
      <c r="H283" s="26">
        <f>236147+45000</f>
        <v>281147</v>
      </c>
      <c r="I283" s="26">
        <v>290000</v>
      </c>
      <c r="J283" s="26" t="e">
        <f>VLOOKUP(B283,#REF!,6,0)</f>
        <v>#REF!</v>
      </c>
      <c r="K283" s="26" t="e">
        <f>+J283*1.71428571428571</f>
        <v>#REF!</v>
      </c>
      <c r="L283" s="26">
        <v>283500</v>
      </c>
      <c r="M283" s="26">
        <v>280000</v>
      </c>
      <c r="N283" s="26">
        <v>280000</v>
      </c>
      <c r="O283" s="26">
        <f>VLOOKUP(B283,[3]כספי!$A$1:$E$324,5,0)</f>
        <v>204802</v>
      </c>
      <c r="P283" s="26">
        <f>VLOOKUP(B:B,'[3]תקבולים 2017'!B:R,15,0)</f>
        <v>817000</v>
      </c>
      <c r="Q283" s="26">
        <f>-VLOOKUP(B:B,'[3]דוח כספי 10.17 מעודכן'!A:D,4,0)</f>
        <v>204080</v>
      </c>
      <c r="R283" s="26">
        <f>VLOOKUP(B:B,'[3]תקבולים 2017'!B:T,17,0)</f>
        <v>245000</v>
      </c>
      <c r="S283" s="26">
        <f>Q283/10*12</f>
        <v>244896</v>
      </c>
      <c r="T283" s="164">
        <f>VLOOKUP(B283,'תקבולים 2017'!$A$2:$Q$248,17,0)</f>
        <v>245000</v>
      </c>
      <c r="U283" s="27">
        <v>0</v>
      </c>
    </row>
    <row r="284" spans="2:21" ht="15">
      <c r="B284" s="24">
        <v>1343901930</v>
      </c>
      <c r="C284" s="25" t="str">
        <f t="shared" si="64"/>
        <v>930</v>
      </c>
      <c r="D284" s="25" t="str">
        <f t="shared" si="65"/>
        <v>343901</v>
      </c>
      <c r="E284" s="25" t="s">
        <v>287</v>
      </c>
      <c r="F284" s="26"/>
      <c r="G284" s="26"/>
      <c r="H284" s="26"/>
      <c r="I284" s="26"/>
      <c r="J284" s="26"/>
      <c r="K284" s="26"/>
      <c r="L284" s="26"/>
      <c r="M284" s="26"/>
      <c r="N284" s="26"/>
      <c r="O284" s="44"/>
      <c r="P284" s="26">
        <v>0</v>
      </c>
      <c r="Q284" s="26">
        <v>0</v>
      </c>
      <c r="R284" s="26">
        <v>0</v>
      </c>
      <c r="S284" s="26">
        <v>0</v>
      </c>
      <c r="T284" s="164">
        <v>0</v>
      </c>
      <c r="U284" s="27">
        <v>12000</v>
      </c>
    </row>
    <row r="285" spans="2:21" ht="15">
      <c r="B285" s="28"/>
      <c r="C285" s="29"/>
      <c r="D285" s="29"/>
      <c r="E285" s="29" t="s">
        <v>288</v>
      </c>
      <c r="F285" s="30">
        <f t="shared" ref="F285:O285" si="66">SUM(F278:F283)</f>
        <v>1077000</v>
      </c>
      <c r="G285" s="30">
        <f t="shared" si="66"/>
        <v>874445</v>
      </c>
      <c r="H285" s="30">
        <f t="shared" si="66"/>
        <v>1212692.8</v>
      </c>
      <c r="I285" s="30">
        <f t="shared" si="66"/>
        <v>1250000</v>
      </c>
      <c r="J285" s="30" t="e">
        <f t="shared" si="66"/>
        <v>#REF!</v>
      </c>
      <c r="K285" s="30" t="e">
        <f t="shared" si="66"/>
        <v>#REF!</v>
      </c>
      <c r="L285" s="30">
        <f t="shared" si="66"/>
        <v>1090677</v>
      </c>
      <c r="M285" s="30">
        <f t="shared" si="66"/>
        <v>1087300</v>
      </c>
      <c r="N285" s="30">
        <f t="shared" si="66"/>
        <v>1087300</v>
      </c>
      <c r="O285" s="30" t="e">
        <f t="shared" si="66"/>
        <v>#N/A</v>
      </c>
      <c r="P285" s="30">
        <f t="shared" ref="P285:S285" si="67">SUM(P272:P284)</f>
        <v>1584000</v>
      </c>
      <c r="Q285" s="30">
        <f t="shared" si="67"/>
        <v>1159519</v>
      </c>
      <c r="R285" s="30">
        <f t="shared" si="67"/>
        <v>1391000</v>
      </c>
      <c r="S285" s="30">
        <f t="shared" si="67"/>
        <v>1391422.8</v>
      </c>
      <c r="T285" s="31">
        <f>SUM(T272:T284)</f>
        <v>1391000</v>
      </c>
      <c r="U285" s="31">
        <f>SUM(U272:U284)</f>
        <v>1706000</v>
      </c>
    </row>
    <row r="286" spans="2:21" ht="15">
      <c r="B286" s="24">
        <v>1344000220</v>
      </c>
      <c r="C286" s="25" t="str">
        <f t="shared" ref="C286:C302" si="68">MID(B286,8,3)</f>
        <v>220</v>
      </c>
      <c r="D286" s="25" t="str">
        <f t="shared" ref="D286:D302" si="69">MID(B286,2,6)</f>
        <v>344000</v>
      </c>
      <c r="E286" s="25" t="s">
        <v>289</v>
      </c>
      <c r="F286" s="26">
        <v>25000</v>
      </c>
      <c r="G286" s="26">
        <v>18076</v>
      </c>
      <c r="H286" s="26">
        <f>G286*12/10</f>
        <v>21691.200000000001</v>
      </c>
      <c r="I286" s="26">
        <v>25000</v>
      </c>
      <c r="J286" s="26" t="e">
        <f>VLOOKUP(B286,#REF!,6,0)</f>
        <v>#REF!</v>
      </c>
      <c r="K286" s="26" t="e">
        <f>+J286*1.71428571428571</f>
        <v>#REF!</v>
      </c>
      <c r="L286" s="26">
        <v>36000</v>
      </c>
      <c r="M286" s="26">
        <v>29300</v>
      </c>
      <c r="N286" s="26">
        <v>29300</v>
      </c>
      <c r="O286" s="26" t="e">
        <f>VLOOKUP(B286,[3]כספי!$A$1:$E$324,5,0)</f>
        <v>#N/A</v>
      </c>
      <c r="P286" s="26">
        <f>VLOOKUP(B:B,'[3]תקבולים 2017'!B:R,15,0)</f>
        <v>9000</v>
      </c>
      <c r="Q286" s="26">
        <f>-VLOOKUP(B:B,'[3]דוח כספי 10.17 מעודכן'!A:D,4,0)</f>
        <v>4500</v>
      </c>
      <c r="R286" s="26">
        <f>VLOOKUP(B:B,'[3]תקבולים 2017'!B:T,17,0)</f>
        <v>5000</v>
      </c>
      <c r="S286" s="26">
        <f>Q286/10*12</f>
        <v>5400</v>
      </c>
      <c r="T286" s="164">
        <f>VLOOKUP(B286,'תקבולים 2017'!$A$2:$Q$248,17,0)</f>
        <v>5000</v>
      </c>
      <c r="U286" s="27">
        <v>4500</v>
      </c>
    </row>
    <row r="287" spans="2:21" ht="15">
      <c r="B287" s="24">
        <v>1344005930</v>
      </c>
      <c r="C287" s="25" t="str">
        <f t="shared" si="68"/>
        <v>930</v>
      </c>
      <c r="D287" s="25" t="str">
        <f t="shared" si="69"/>
        <v>344005</v>
      </c>
      <c r="E287" s="25" t="s">
        <v>290</v>
      </c>
      <c r="F287" s="26"/>
      <c r="G287" s="26"/>
      <c r="H287" s="26"/>
      <c r="I287" s="26"/>
      <c r="J287" s="26"/>
      <c r="K287" s="26"/>
      <c r="L287" s="26"/>
      <c r="M287" s="26"/>
      <c r="N287" s="26"/>
      <c r="O287" s="44"/>
      <c r="P287" s="26">
        <v>0</v>
      </c>
      <c r="Q287" s="26">
        <v>0</v>
      </c>
      <c r="R287" s="26">
        <v>0</v>
      </c>
      <c r="S287" s="26">
        <v>0</v>
      </c>
      <c r="T287" s="164">
        <v>0</v>
      </c>
      <c r="U287" s="27">
        <v>28000</v>
      </c>
    </row>
    <row r="288" spans="2:21" ht="15">
      <c r="B288" s="24">
        <v>1344007930</v>
      </c>
      <c r="C288" s="25" t="str">
        <f t="shared" si="68"/>
        <v>930</v>
      </c>
      <c r="D288" s="25" t="str">
        <f t="shared" si="69"/>
        <v>344007</v>
      </c>
      <c r="E288" s="25" t="s">
        <v>291</v>
      </c>
      <c r="F288" s="26"/>
      <c r="G288" s="26"/>
      <c r="H288" s="26"/>
      <c r="I288" s="26"/>
      <c r="J288" s="26"/>
      <c r="K288" s="26"/>
      <c r="L288" s="26"/>
      <c r="M288" s="26"/>
      <c r="N288" s="26"/>
      <c r="O288" s="44"/>
      <c r="P288" s="26">
        <v>0</v>
      </c>
      <c r="Q288" s="26">
        <v>0</v>
      </c>
      <c r="R288" s="26">
        <v>0</v>
      </c>
      <c r="S288" s="26">
        <v>0</v>
      </c>
      <c r="T288" s="164">
        <v>0</v>
      </c>
      <c r="U288" s="27">
        <v>130000</v>
      </c>
    </row>
    <row r="289" spans="2:21" ht="15">
      <c r="B289" s="24">
        <v>1344008930</v>
      </c>
      <c r="C289" s="25" t="str">
        <f t="shared" si="68"/>
        <v>930</v>
      </c>
      <c r="D289" s="25" t="str">
        <f t="shared" si="69"/>
        <v>344008</v>
      </c>
      <c r="E289" s="25" t="s">
        <v>292</v>
      </c>
      <c r="F289" s="26"/>
      <c r="G289" s="26"/>
      <c r="H289" s="26"/>
      <c r="I289" s="26"/>
      <c r="J289" s="26"/>
      <c r="K289" s="26"/>
      <c r="L289" s="26"/>
      <c r="M289" s="26"/>
      <c r="N289" s="26"/>
      <c r="O289" s="44"/>
      <c r="P289" s="26">
        <v>0</v>
      </c>
      <c r="Q289" s="26">
        <v>0</v>
      </c>
      <c r="R289" s="26">
        <v>0</v>
      </c>
      <c r="S289" s="26">
        <v>0</v>
      </c>
      <c r="T289" s="164">
        <v>0</v>
      </c>
      <c r="U289" s="27">
        <v>5000</v>
      </c>
    </row>
    <row r="290" spans="2:21" ht="15">
      <c r="B290" s="24">
        <v>1344400930</v>
      </c>
      <c r="C290" s="25" t="str">
        <f t="shared" si="68"/>
        <v>930</v>
      </c>
      <c r="D290" s="25" t="str">
        <f t="shared" si="69"/>
        <v>344400</v>
      </c>
      <c r="E290" s="25" t="s">
        <v>293</v>
      </c>
      <c r="F290" s="26"/>
      <c r="G290" s="26">
        <v>88</v>
      </c>
      <c r="H290" s="26">
        <f>G290*12/10</f>
        <v>105.6</v>
      </c>
      <c r="I290" s="26">
        <v>1000</v>
      </c>
      <c r="J290" s="26" t="e">
        <f>VLOOKUP(B290,#REF!,6,0)</f>
        <v>#REF!</v>
      </c>
      <c r="K290" s="26" t="e">
        <f>+J290*1.71428571428571</f>
        <v>#REF!</v>
      </c>
      <c r="L290" s="26">
        <v>1000</v>
      </c>
      <c r="M290" s="26">
        <v>0</v>
      </c>
      <c r="N290" s="26">
        <v>0</v>
      </c>
      <c r="O290" s="26"/>
      <c r="P290" s="26">
        <f>VLOOKUP(B:B,'[3]תקבולים 2017'!B:R,15,0)</f>
        <v>213000</v>
      </c>
      <c r="Q290" s="26">
        <f>-VLOOKUP(B:B,'[3]דוח כספי 10.17 מעודכן'!A:D,4,0)</f>
        <v>376980</v>
      </c>
      <c r="R290" s="26">
        <f>VLOOKUP(B:B,'[3]תקבולים 2017'!B:T,17,0)</f>
        <v>452000</v>
      </c>
      <c r="S290" s="26">
        <f>Q290/10*12</f>
        <v>452376</v>
      </c>
      <c r="T290" s="164">
        <f>VLOOKUP(B290,'תקבולים 2017'!$A$2:$Q$248,17,0)</f>
        <v>452000</v>
      </c>
      <c r="U290" s="27">
        <v>0</v>
      </c>
    </row>
    <row r="291" spans="2:21" ht="15">
      <c r="B291" s="24">
        <v>1344410930</v>
      </c>
      <c r="C291" s="25" t="str">
        <f t="shared" si="68"/>
        <v>930</v>
      </c>
      <c r="D291" s="25" t="str">
        <f t="shared" si="69"/>
        <v>344410</v>
      </c>
      <c r="E291" s="25" t="s">
        <v>294</v>
      </c>
      <c r="F291" s="26">
        <v>0</v>
      </c>
      <c r="G291" s="26"/>
      <c r="H291" s="26">
        <v>0</v>
      </c>
      <c r="I291" s="26"/>
      <c r="J291" s="26">
        <v>35424</v>
      </c>
      <c r="K291" s="26">
        <v>35424</v>
      </c>
      <c r="L291" s="26">
        <v>35424</v>
      </c>
      <c r="M291" s="26">
        <v>78700</v>
      </c>
      <c r="N291" s="26">
        <v>78700</v>
      </c>
      <c r="O291" s="26" t="e">
        <f>VLOOKUP(B291,[3]כספי!$A$1:$E$324,5,0)</f>
        <v>#N/A</v>
      </c>
      <c r="P291" s="26">
        <f>VLOOKUP(B:B,'[3]תקבולים 2017'!B:R,15,0)</f>
        <v>0</v>
      </c>
      <c r="Q291" s="26">
        <f>-VLOOKUP(B:B,'[3]דוח כספי 10.17 מעודכן'!A:D,4,0)</f>
        <v>107319</v>
      </c>
      <c r="R291" s="26">
        <f>VLOOKUP(B:B,'[3]תקבולים 2017'!B:T,17,0)</f>
        <v>130000</v>
      </c>
      <c r="S291" s="26">
        <f>Q291/10*12</f>
        <v>128782.79999999999</v>
      </c>
      <c r="T291" s="164">
        <f>VLOOKUP(B291,'תקבולים 2017'!$A$2:$Q$248,17,0)</f>
        <v>130000</v>
      </c>
      <c r="U291" s="27">
        <v>0</v>
      </c>
    </row>
    <row r="292" spans="2:21" ht="15">
      <c r="B292" s="24">
        <v>1345004930</v>
      </c>
      <c r="C292" s="25" t="str">
        <f t="shared" si="68"/>
        <v>930</v>
      </c>
      <c r="D292" s="25" t="str">
        <f t="shared" si="69"/>
        <v>345004</v>
      </c>
      <c r="E292" s="25" t="s">
        <v>295</v>
      </c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>
        <v>0</v>
      </c>
      <c r="Q292" s="26">
        <v>0</v>
      </c>
      <c r="R292" s="26">
        <v>0</v>
      </c>
      <c r="S292" s="26">
        <v>0</v>
      </c>
      <c r="T292" s="164">
        <v>0</v>
      </c>
      <c r="U292" s="27">
        <v>25000</v>
      </c>
    </row>
    <row r="293" spans="2:21" ht="15">
      <c r="B293" s="24">
        <v>1345005930</v>
      </c>
      <c r="C293" s="25" t="str">
        <f t="shared" si="68"/>
        <v>930</v>
      </c>
      <c r="D293" s="25" t="str">
        <f t="shared" si="69"/>
        <v>345005</v>
      </c>
      <c r="E293" s="25" t="s">
        <v>296</v>
      </c>
      <c r="F293" s="26"/>
      <c r="G293" s="26"/>
      <c r="H293" s="26"/>
      <c r="I293" s="26"/>
      <c r="J293" s="26"/>
      <c r="K293" s="26"/>
      <c r="L293" s="26"/>
      <c r="M293" s="26"/>
      <c r="N293" s="26"/>
      <c r="O293" s="44"/>
      <c r="P293" s="26">
        <v>0</v>
      </c>
      <c r="Q293" s="26">
        <v>0</v>
      </c>
      <c r="R293" s="26">
        <v>0</v>
      </c>
      <c r="S293" s="26">
        <v>0</v>
      </c>
      <c r="T293" s="164">
        <v>0</v>
      </c>
      <c r="U293" s="27">
        <v>22000</v>
      </c>
    </row>
    <row r="294" spans="2:21" ht="15">
      <c r="B294" s="24">
        <v>1345100930</v>
      </c>
      <c r="C294" s="25" t="str">
        <f t="shared" si="68"/>
        <v>930</v>
      </c>
      <c r="D294" s="25" t="str">
        <f t="shared" si="69"/>
        <v>345100</v>
      </c>
      <c r="E294" s="25" t="s">
        <v>297</v>
      </c>
      <c r="F294" s="26">
        <v>960000</v>
      </c>
      <c r="G294" s="26">
        <v>907096</v>
      </c>
      <c r="H294" s="26">
        <f>999152+92000</f>
        <v>1091152</v>
      </c>
      <c r="I294" s="26">
        <v>1142000</v>
      </c>
      <c r="J294" s="26" t="e">
        <f>VLOOKUP(B294,#REF!,6,0)</f>
        <v>#REF!</v>
      </c>
      <c r="K294" s="26" t="e">
        <f>+J294*1.71428571428571</f>
        <v>#REF!</v>
      </c>
      <c r="L294" s="26">
        <v>1089628</v>
      </c>
      <c r="M294" s="26">
        <v>1087000</v>
      </c>
      <c r="N294" s="26">
        <v>1087000</v>
      </c>
      <c r="O294" s="44">
        <f>VLOOKUP(B294,[3]כספי!$A$1:$E$324,5,0)</f>
        <v>806407</v>
      </c>
      <c r="P294" s="26">
        <f>VLOOKUP(B:B,'[3]תקבולים 2017'!B:R,15,0)</f>
        <v>430000</v>
      </c>
      <c r="Q294" s="26">
        <f>-VLOOKUP(B:B,'[3]דוח כספי 10.17 מעודכן'!A:D,4,0)</f>
        <v>93382</v>
      </c>
      <c r="R294" s="26">
        <f>VLOOKUP(B:B,'[3]תקבולים 2017'!B:T,17,0)</f>
        <v>112000</v>
      </c>
      <c r="S294" s="26">
        <f>Q294/10*12</f>
        <v>112058.40000000001</v>
      </c>
      <c r="T294" s="164">
        <f>VLOOKUP(B294,'תקבולים 2017'!$A$2:$Q$248,17,0)</f>
        <v>112000</v>
      </c>
      <c r="U294" s="27">
        <v>113000</v>
      </c>
    </row>
    <row r="295" spans="2:21" ht="15">
      <c r="B295" s="24">
        <v>1345200930</v>
      </c>
      <c r="C295" s="25" t="str">
        <f t="shared" si="68"/>
        <v>930</v>
      </c>
      <c r="D295" s="25" t="str">
        <f t="shared" si="69"/>
        <v>345200</v>
      </c>
      <c r="E295" s="25" t="s">
        <v>298</v>
      </c>
      <c r="F295" s="26">
        <v>7000</v>
      </c>
      <c r="G295" s="26">
        <v>5171</v>
      </c>
      <c r="H295" s="26">
        <f>G295*12/10</f>
        <v>6205.2</v>
      </c>
      <c r="I295" s="26">
        <v>7000</v>
      </c>
      <c r="J295" s="26" t="e">
        <f>VLOOKUP(B295,#REF!,6,0)</f>
        <v>#REF!</v>
      </c>
      <c r="K295" s="26" t="e">
        <f>+J295*1.71428571428571</f>
        <v>#REF!</v>
      </c>
      <c r="L295" s="26">
        <v>5000</v>
      </c>
      <c r="M295" s="26">
        <v>5000</v>
      </c>
      <c r="N295" s="26">
        <v>5000</v>
      </c>
      <c r="O295" s="44">
        <f>VLOOKUP(B295,[3]כספי!$A$1:$E$324,5,0)</f>
        <v>109067</v>
      </c>
      <c r="P295" s="26">
        <f>VLOOKUP(B:B,'[3]תקבולים 2017'!B:R,15,0)</f>
        <v>566000</v>
      </c>
      <c r="Q295" s="26">
        <f>-VLOOKUP(B:B,'[3]דוח כספי 10.17 מעודכן'!A:D,4,0)</f>
        <v>359159</v>
      </c>
      <c r="R295" s="26">
        <f>VLOOKUP(B:B,'[3]תקבולים 2017'!B:T,17,0)</f>
        <v>430000</v>
      </c>
      <c r="S295" s="26">
        <f>Q295/10*12</f>
        <v>430990.80000000005</v>
      </c>
      <c r="T295" s="164">
        <f>VLOOKUP(B295,'תקבולים 2017'!$A$2:$Q$248,17,0)</f>
        <v>430000</v>
      </c>
      <c r="U295" s="27">
        <v>0</v>
      </c>
    </row>
    <row r="296" spans="2:21" ht="15">
      <c r="B296" s="24">
        <v>1345201930</v>
      </c>
      <c r="C296" s="25" t="str">
        <f t="shared" si="68"/>
        <v>930</v>
      </c>
      <c r="D296" s="25" t="str">
        <f t="shared" si="69"/>
        <v>345201</v>
      </c>
      <c r="E296" s="25" t="s">
        <v>300</v>
      </c>
      <c r="F296" s="26"/>
      <c r="G296" s="26"/>
      <c r="H296" s="26"/>
      <c r="I296" s="26"/>
      <c r="J296" s="26"/>
      <c r="K296" s="26"/>
      <c r="L296" s="26"/>
      <c r="M296" s="26"/>
      <c r="N296" s="26"/>
      <c r="O296" s="44"/>
      <c r="P296" s="26">
        <v>0</v>
      </c>
      <c r="Q296" s="26">
        <v>0</v>
      </c>
      <c r="R296" s="26">
        <v>0</v>
      </c>
      <c r="S296" s="26">
        <v>0</v>
      </c>
      <c r="T296" s="164">
        <v>0</v>
      </c>
      <c r="U296" s="27">
        <v>407000</v>
      </c>
    </row>
    <row r="297" spans="2:21" ht="15">
      <c r="B297" s="24">
        <v>1345300930</v>
      </c>
      <c r="C297" s="25" t="str">
        <f t="shared" si="68"/>
        <v>930</v>
      </c>
      <c r="D297" s="25" t="str">
        <f t="shared" si="69"/>
        <v>345300</v>
      </c>
      <c r="E297" s="25" t="s">
        <v>301</v>
      </c>
      <c r="F297" s="26">
        <v>100000</v>
      </c>
      <c r="G297" s="26">
        <v>125952</v>
      </c>
      <c r="H297" s="26">
        <f>164584+39000</f>
        <v>203584</v>
      </c>
      <c r="I297" s="26">
        <v>210000</v>
      </c>
      <c r="J297" s="26" t="e">
        <f>VLOOKUP(B297,#REF!,6,0)</f>
        <v>#REF!</v>
      </c>
      <c r="K297" s="26" t="e">
        <f>+J297*1.71428571428571</f>
        <v>#REF!</v>
      </c>
      <c r="L297" s="26">
        <v>250000</v>
      </c>
      <c r="M297" s="26">
        <v>180000</v>
      </c>
      <c r="N297" s="26">
        <v>180000</v>
      </c>
      <c r="O297" s="44" t="e">
        <f>VLOOKUP(B297,[3]כספי!$A$1:$E$324,5,0)</f>
        <v>#N/A</v>
      </c>
      <c r="P297" s="26">
        <f>VLOOKUP(B:B,'[3]תקבולים 2017'!B:R,15,0)</f>
        <v>0</v>
      </c>
      <c r="Q297" s="26">
        <f>-VLOOKUP(B:B,'[3]דוח כספי 10.17 מעודכן'!A:D,4,0)</f>
        <v>22341</v>
      </c>
      <c r="R297" s="26">
        <f>VLOOKUP(B:B,'[3]תקבולים 2017'!B:T,17,0)</f>
        <v>27000</v>
      </c>
      <c r="S297" s="26">
        <f>Q297/10*12</f>
        <v>26809.199999999997</v>
      </c>
      <c r="T297" s="164">
        <f>VLOOKUP(B297,'תקבולים 2017'!$A$2:$Q$248,17,0)</f>
        <v>27000</v>
      </c>
      <c r="U297" s="27">
        <v>0</v>
      </c>
    </row>
    <row r="298" spans="2:21" ht="15">
      <c r="B298" s="24">
        <v>1345301930</v>
      </c>
      <c r="C298" s="25" t="str">
        <f t="shared" si="68"/>
        <v>930</v>
      </c>
      <c r="D298" s="25" t="str">
        <f t="shared" si="69"/>
        <v>345301</v>
      </c>
      <c r="E298" s="25" t="s">
        <v>303</v>
      </c>
      <c r="F298" s="26"/>
      <c r="G298" s="26"/>
      <c r="H298" s="26"/>
      <c r="I298" s="26"/>
      <c r="J298" s="26"/>
      <c r="K298" s="26"/>
      <c r="L298" s="26"/>
      <c r="M298" s="26"/>
      <c r="N298" s="26"/>
      <c r="O298" s="44"/>
      <c r="P298" s="26">
        <v>0</v>
      </c>
      <c r="Q298" s="26">
        <v>0</v>
      </c>
      <c r="R298" s="26">
        <v>0</v>
      </c>
      <c r="S298" s="26">
        <v>0</v>
      </c>
      <c r="T298" s="164">
        <v>0</v>
      </c>
      <c r="U298" s="27">
        <v>409000</v>
      </c>
    </row>
    <row r="299" spans="2:21" ht="15">
      <c r="B299" s="24">
        <v>1345350930</v>
      </c>
      <c r="C299" s="25" t="str">
        <f t="shared" si="68"/>
        <v>930</v>
      </c>
      <c r="D299" s="25" t="str">
        <f t="shared" si="69"/>
        <v>345350</v>
      </c>
      <c r="E299" s="25" t="s">
        <v>304</v>
      </c>
      <c r="F299" s="26">
        <v>545000</v>
      </c>
      <c r="G299" s="26">
        <v>434126</v>
      </c>
      <c r="H299" s="26">
        <f>G299*12/10</f>
        <v>520951.2</v>
      </c>
      <c r="I299" s="26">
        <v>595000</v>
      </c>
      <c r="J299" s="26" t="e">
        <f>VLOOKUP(B299,#REF!,6,0)</f>
        <v>#REF!</v>
      </c>
      <c r="K299" s="26" t="e">
        <f>+J299*1.71428571428571</f>
        <v>#REF!</v>
      </c>
      <c r="L299" s="26">
        <v>550000</v>
      </c>
      <c r="M299" s="26">
        <v>550000</v>
      </c>
      <c r="N299" s="26">
        <v>550000</v>
      </c>
      <c r="O299" s="44" t="e">
        <f>VLOOKUP(B299,[3]כספי!$A$1:$E$324,5,0)</f>
        <v>#N/A</v>
      </c>
      <c r="P299" s="26">
        <f>VLOOKUP(B:B,'[3]תקבולים 2017'!B:R,15,0)</f>
        <v>19000</v>
      </c>
      <c r="Q299" s="26">
        <f>-VLOOKUP(B:B,'[3]דוח כספי 10.17 מעודכן'!A:D,4,0)</f>
        <v>60322</v>
      </c>
      <c r="R299" s="26">
        <f>VLOOKUP(B:B,'[3]תקבולים 2017'!B:T,17,0)</f>
        <v>72000</v>
      </c>
      <c r="S299" s="26">
        <f>Q299/10*12</f>
        <v>72386.399999999994</v>
      </c>
      <c r="T299" s="164">
        <f>VLOOKUP(B299,'תקבולים 2017'!$A$2:$Q$248,17,0)</f>
        <v>72000</v>
      </c>
      <c r="U299" s="27">
        <v>0</v>
      </c>
    </row>
    <row r="300" spans="2:21" ht="15">
      <c r="B300" s="24">
        <v>1345400930</v>
      </c>
      <c r="C300" s="25" t="str">
        <f t="shared" si="68"/>
        <v>930</v>
      </c>
      <c r="D300" s="25" t="str">
        <f t="shared" si="69"/>
        <v>345400</v>
      </c>
      <c r="E300" s="25" t="s">
        <v>305</v>
      </c>
      <c r="F300" s="26">
        <v>18000</v>
      </c>
      <c r="G300" s="26"/>
      <c r="H300" s="26">
        <f>G300*12/10</f>
        <v>0</v>
      </c>
      <c r="I300" s="26">
        <f>H300</f>
        <v>0</v>
      </c>
      <c r="J300" s="26" t="e">
        <f>VLOOKUP(B300,#REF!,6,0)</f>
        <v>#REF!</v>
      </c>
      <c r="K300" s="26" t="e">
        <f>+J300*1.71428571428571</f>
        <v>#REF!</v>
      </c>
      <c r="L300" s="26">
        <v>20000</v>
      </c>
      <c r="M300" s="26">
        <v>22000</v>
      </c>
      <c r="N300" s="26">
        <v>22000</v>
      </c>
      <c r="O300" s="44" t="e">
        <f>VLOOKUP(B300,[3]כספי!$A$1:$E$324,5,0)</f>
        <v>#N/A</v>
      </c>
      <c r="P300" s="26">
        <f>VLOOKUP(B:B,'[3]תקבולים 2017'!B:R,15,0)</f>
        <v>502000</v>
      </c>
      <c r="Q300" s="26">
        <f>-VLOOKUP(B:B,'[3]דוח כספי 10.17 מעודכן'!A:D,4,0)</f>
        <v>340429</v>
      </c>
      <c r="R300" s="26">
        <f>VLOOKUP(B:B,'[3]תקבולים 2017'!B:T,17,0)</f>
        <v>408000</v>
      </c>
      <c r="S300" s="26">
        <f>Q300/10*12</f>
        <v>408514.80000000005</v>
      </c>
      <c r="T300" s="164">
        <f>VLOOKUP(B300,'תקבולים 2017'!$A$2:$Q$248,17,0)</f>
        <v>408000</v>
      </c>
      <c r="U300" s="27">
        <v>0</v>
      </c>
    </row>
    <row r="301" spans="2:21" ht="15">
      <c r="B301" s="24">
        <v>1345401930</v>
      </c>
      <c r="C301" s="25" t="str">
        <f t="shared" si="68"/>
        <v>930</v>
      </c>
      <c r="D301" s="25" t="str">
        <f t="shared" si="69"/>
        <v>345401</v>
      </c>
      <c r="E301" s="25" t="s">
        <v>306</v>
      </c>
      <c r="F301" s="26"/>
      <c r="G301" s="26"/>
      <c r="H301" s="26"/>
      <c r="I301" s="26"/>
      <c r="J301" s="26"/>
      <c r="K301" s="26"/>
      <c r="L301" s="26"/>
      <c r="M301" s="26"/>
      <c r="N301" s="26"/>
      <c r="O301" s="44"/>
      <c r="P301" s="26">
        <v>0</v>
      </c>
      <c r="Q301" s="26">
        <v>0</v>
      </c>
      <c r="R301" s="26">
        <v>0</v>
      </c>
      <c r="S301" s="26">
        <v>0</v>
      </c>
      <c r="T301" s="164">
        <v>0</v>
      </c>
      <c r="U301" s="27">
        <v>453000</v>
      </c>
    </row>
    <row r="302" spans="2:21" ht="15">
      <c r="B302" s="24">
        <v>1345500930</v>
      </c>
      <c r="C302" s="25" t="str">
        <f t="shared" si="68"/>
        <v>930</v>
      </c>
      <c r="D302" s="25" t="str">
        <f t="shared" si="69"/>
        <v>345500</v>
      </c>
      <c r="E302" s="25" t="s">
        <v>307</v>
      </c>
      <c r="F302" s="26"/>
      <c r="G302" s="26"/>
      <c r="H302" s="26"/>
      <c r="I302" s="26"/>
      <c r="J302" s="26"/>
      <c r="K302" s="26"/>
      <c r="L302" s="26"/>
      <c r="M302" s="26"/>
      <c r="N302" s="26"/>
      <c r="O302" s="44"/>
      <c r="P302" s="26">
        <v>0</v>
      </c>
      <c r="Q302" s="26">
        <v>0</v>
      </c>
      <c r="R302" s="26">
        <v>0</v>
      </c>
      <c r="S302" s="26">
        <v>0</v>
      </c>
      <c r="T302" s="164">
        <v>0</v>
      </c>
      <c r="U302" s="27">
        <v>0</v>
      </c>
    </row>
    <row r="303" spans="2:21" ht="15">
      <c r="B303" s="28"/>
      <c r="C303" s="29"/>
      <c r="D303" s="29"/>
      <c r="E303" s="29"/>
      <c r="F303" s="30"/>
      <c r="G303" s="30"/>
      <c r="H303" s="30"/>
      <c r="I303" s="30"/>
      <c r="J303" s="30"/>
      <c r="K303" s="30"/>
      <c r="L303" s="30"/>
      <c r="M303" s="30"/>
      <c r="N303" s="30"/>
      <c r="O303" s="71"/>
      <c r="P303" s="30"/>
      <c r="Q303" s="30"/>
      <c r="R303" s="30"/>
      <c r="S303" s="30"/>
      <c r="T303" s="165"/>
      <c r="U303" s="31"/>
    </row>
    <row r="304" spans="2:21" ht="15">
      <c r="B304" s="28"/>
      <c r="C304" s="29"/>
      <c r="D304" s="29"/>
      <c r="E304" s="29" t="s">
        <v>309</v>
      </c>
      <c r="F304" s="30">
        <f t="shared" ref="F304:O304" si="70">SUM(F295:F301)</f>
        <v>670000</v>
      </c>
      <c r="G304" s="30">
        <f t="shared" si="70"/>
        <v>565249</v>
      </c>
      <c r="H304" s="30">
        <f t="shared" si="70"/>
        <v>730740.4</v>
      </c>
      <c r="I304" s="30">
        <f t="shared" si="70"/>
        <v>812000</v>
      </c>
      <c r="J304" s="30" t="e">
        <f t="shared" si="70"/>
        <v>#REF!</v>
      </c>
      <c r="K304" s="30" t="e">
        <f t="shared" si="70"/>
        <v>#REF!</v>
      </c>
      <c r="L304" s="30">
        <f t="shared" si="70"/>
        <v>825000</v>
      </c>
      <c r="M304" s="30">
        <f t="shared" si="70"/>
        <v>757000</v>
      </c>
      <c r="N304" s="30">
        <f t="shared" si="70"/>
        <v>757000</v>
      </c>
      <c r="O304" s="30" t="e">
        <f t="shared" si="70"/>
        <v>#N/A</v>
      </c>
      <c r="P304" s="30">
        <f>SUM(P286:P303)</f>
        <v>1739000</v>
      </c>
      <c r="Q304" s="30">
        <f t="shared" ref="Q304:U304" si="71">SUM(Q286:Q303)</f>
        <v>1364432</v>
      </c>
      <c r="R304" s="30">
        <f t="shared" si="71"/>
        <v>1636000</v>
      </c>
      <c r="S304" s="30">
        <f t="shared" si="71"/>
        <v>1637318.4</v>
      </c>
      <c r="T304" s="31">
        <f t="shared" si="71"/>
        <v>1636000</v>
      </c>
      <c r="U304" s="31">
        <f t="shared" si="71"/>
        <v>1596500</v>
      </c>
    </row>
    <row r="305" spans="2:21" ht="15">
      <c r="B305" s="24">
        <v>1346005930</v>
      </c>
      <c r="C305" s="25" t="str">
        <f t="shared" ref="C305:C323" si="72">MID(B305,8,3)</f>
        <v>930</v>
      </c>
      <c r="D305" s="25" t="str">
        <f t="shared" ref="D305:D323" si="73">MID(B305,2,6)</f>
        <v>346005</v>
      </c>
      <c r="E305" s="25" t="s">
        <v>310</v>
      </c>
      <c r="F305" s="26"/>
      <c r="G305" s="26"/>
      <c r="H305" s="26"/>
      <c r="I305" s="26"/>
      <c r="J305" s="26"/>
      <c r="K305" s="26"/>
      <c r="L305" s="26"/>
      <c r="M305" s="26"/>
      <c r="N305" s="26"/>
      <c r="O305" s="44"/>
      <c r="P305" s="26">
        <v>0</v>
      </c>
      <c r="Q305" s="26">
        <v>0</v>
      </c>
      <c r="R305" s="26">
        <v>0</v>
      </c>
      <c r="S305" s="26">
        <v>0</v>
      </c>
      <c r="T305" s="164">
        <v>0</v>
      </c>
      <c r="U305" s="27">
        <v>85000</v>
      </c>
    </row>
    <row r="306" spans="2:21" ht="15">
      <c r="B306" s="24">
        <v>1346006930</v>
      </c>
      <c r="C306" s="25" t="str">
        <f t="shared" si="72"/>
        <v>930</v>
      </c>
      <c r="D306" s="25" t="str">
        <f t="shared" si="73"/>
        <v>346006</v>
      </c>
      <c r="E306" s="25" t="s">
        <v>307</v>
      </c>
      <c r="F306" s="26"/>
      <c r="G306" s="26"/>
      <c r="H306" s="26"/>
      <c r="I306" s="26"/>
      <c r="J306" s="26"/>
      <c r="K306" s="26"/>
      <c r="L306" s="26"/>
      <c r="M306" s="26"/>
      <c r="N306" s="26"/>
      <c r="O306" s="44"/>
      <c r="P306" s="26">
        <v>0</v>
      </c>
      <c r="Q306" s="26">
        <v>0</v>
      </c>
      <c r="R306" s="26">
        <v>0</v>
      </c>
      <c r="S306" s="26">
        <v>0</v>
      </c>
      <c r="T306" s="164">
        <v>0</v>
      </c>
      <c r="U306" s="27">
        <v>24000</v>
      </c>
    </row>
    <row r="307" spans="2:21" ht="15">
      <c r="B307" s="24">
        <v>1346105930</v>
      </c>
      <c r="C307" s="25" t="str">
        <f t="shared" si="72"/>
        <v>930</v>
      </c>
      <c r="D307" s="25" t="str">
        <f t="shared" si="73"/>
        <v>346105</v>
      </c>
      <c r="E307" s="25" t="s">
        <v>311</v>
      </c>
      <c r="F307" s="26"/>
      <c r="G307" s="26"/>
      <c r="H307" s="26"/>
      <c r="I307" s="26"/>
      <c r="J307" s="26"/>
      <c r="K307" s="26"/>
      <c r="L307" s="26"/>
      <c r="M307" s="26"/>
      <c r="N307" s="26"/>
      <c r="O307" s="44"/>
      <c r="P307" s="26">
        <v>0</v>
      </c>
      <c r="Q307" s="26">
        <v>0</v>
      </c>
      <c r="R307" s="26">
        <v>0</v>
      </c>
      <c r="S307" s="26">
        <v>0</v>
      </c>
      <c r="T307" s="164">
        <v>0</v>
      </c>
      <c r="U307" s="27">
        <v>26000</v>
      </c>
    </row>
    <row r="308" spans="2:21" ht="15">
      <c r="B308" s="24">
        <v>1346300930</v>
      </c>
      <c r="C308" s="25" t="str">
        <f t="shared" si="72"/>
        <v>930</v>
      </c>
      <c r="D308" s="25" t="str">
        <f t="shared" si="73"/>
        <v>346300</v>
      </c>
      <c r="E308" s="25" t="s">
        <v>312</v>
      </c>
      <c r="F308" s="26"/>
      <c r="G308" s="26"/>
      <c r="H308" s="26"/>
      <c r="I308" s="26"/>
      <c r="J308" s="26"/>
      <c r="K308" s="26"/>
      <c r="L308" s="26"/>
      <c r="M308" s="26"/>
      <c r="N308" s="26"/>
      <c r="O308" s="44"/>
      <c r="P308" s="26">
        <v>0</v>
      </c>
      <c r="Q308" s="26">
        <v>0</v>
      </c>
      <c r="R308" s="26">
        <v>0</v>
      </c>
      <c r="S308" s="26">
        <v>0</v>
      </c>
      <c r="T308" s="164">
        <v>0</v>
      </c>
      <c r="U308" s="27">
        <v>11000</v>
      </c>
    </row>
    <row r="309" spans="2:21" ht="15">
      <c r="B309" s="24">
        <v>1346350930</v>
      </c>
      <c r="C309" s="25" t="str">
        <f t="shared" si="72"/>
        <v>930</v>
      </c>
      <c r="D309" s="25" t="str">
        <f t="shared" si="73"/>
        <v>346350</v>
      </c>
      <c r="E309" s="25" t="s">
        <v>304</v>
      </c>
      <c r="F309" s="26"/>
      <c r="G309" s="26"/>
      <c r="H309" s="26"/>
      <c r="I309" s="26"/>
      <c r="J309" s="26"/>
      <c r="K309" s="26"/>
      <c r="L309" s="26"/>
      <c r="M309" s="26"/>
      <c r="N309" s="26"/>
      <c r="O309" s="44"/>
      <c r="P309" s="26">
        <v>0</v>
      </c>
      <c r="Q309" s="26">
        <v>0</v>
      </c>
      <c r="R309" s="26">
        <v>0</v>
      </c>
      <c r="S309" s="26">
        <v>0</v>
      </c>
      <c r="T309" s="164">
        <v>0</v>
      </c>
      <c r="U309" s="27">
        <v>73000</v>
      </c>
    </row>
    <row r="310" spans="2:21" ht="15">
      <c r="B310" s="24">
        <v>1346400930</v>
      </c>
      <c r="C310" s="25" t="str">
        <f t="shared" si="72"/>
        <v>930</v>
      </c>
      <c r="D310" s="25" t="str">
        <f t="shared" si="73"/>
        <v>346400</v>
      </c>
      <c r="E310" s="25" t="s">
        <v>313</v>
      </c>
      <c r="F310" s="26"/>
      <c r="G310" s="26">
        <v>3720</v>
      </c>
      <c r="H310" s="26">
        <f>G310*12/10</f>
        <v>4464</v>
      </c>
      <c r="I310" s="26">
        <v>4500</v>
      </c>
      <c r="J310" s="26" t="e">
        <f>VLOOKUP(B310,#REF!,6,0)</f>
        <v>#REF!</v>
      </c>
      <c r="K310" s="26" t="e">
        <f>+J310*1.71428571428571</f>
        <v>#REF!</v>
      </c>
      <c r="L310" s="26">
        <v>5000</v>
      </c>
      <c r="M310" s="26">
        <v>5000</v>
      </c>
      <c r="N310" s="26">
        <v>5000</v>
      </c>
      <c r="O310" s="44">
        <f>VLOOKUP(B310,[3]כספי!$A$1:$E$324,5,0)</f>
        <v>0</v>
      </c>
      <c r="P310" s="26">
        <f>VLOOKUP(B:B,'[3]תקבולים 2017'!B:R,15,0)</f>
        <v>10000</v>
      </c>
      <c r="Q310" s="26">
        <f>-VLOOKUP(B:B,'[3]דוח כספי 10.17 מעודכן'!A:D,4,0)</f>
        <v>8788</v>
      </c>
      <c r="R310" s="26">
        <f>VLOOKUP(B:B,'[3]תקבולים 2017'!B:T,17,0)</f>
        <v>11000</v>
      </c>
      <c r="S310" s="26">
        <f>Q310/10*12</f>
        <v>10545.599999999999</v>
      </c>
      <c r="T310" s="164">
        <f>VLOOKUP(B310,'תקבולים 2017'!$A$2:$Q$248,17,0)</f>
        <v>11000</v>
      </c>
      <c r="U310" s="27"/>
    </row>
    <row r="311" spans="2:21" ht="15">
      <c r="B311" s="24">
        <v>1346410930</v>
      </c>
      <c r="C311" s="25" t="str">
        <f t="shared" si="72"/>
        <v>930</v>
      </c>
      <c r="D311" s="25" t="str">
        <f t="shared" si="73"/>
        <v>346410</v>
      </c>
      <c r="E311" s="25" t="s">
        <v>314</v>
      </c>
      <c r="F311" s="26"/>
      <c r="G311" s="26"/>
      <c r="H311" s="26"/>
      <c r="I311" s="26"/>
      <c r="J311" s="26">
        <v>5145</v>
      </c>
      <c r="K311" s="26">
        <v>5145</v>
      </c>
      <c r="L311" s="26">
        <v>5145</v>
      </c>
      <c r="M311" s="26">
        <v>7000</v>
      </c>
      <c r="N311" s="26">
        <v>7000</v>
      </c>
      <c r="O311" s="44" t="e">
        <f>VLOOKUP(B311,[3]כספי!$A$1:$E$324,5,0)</f>
        <v>#N/A</v>
      </c>
      <c r="P311" s="26">
        <f>VLOOKUP(B:B,'[3]תקבולים 2017'!B:R,15,0)</f>
        <v>0</v>
      </c>
      <c r="Q311" s="26">
        <f>-VLOOKUP(B:B,'[3]דוח כספי 10.17 מעודכן'!A:D,4,0)</f>
        <v>0</v>
      </c>
      <c r="R311" s="26">
        <f>VLOOKUP(B:B,'[3]תקבולים 2017'!B:T,17,0)</f>
        <v>0</v>
      </c>
      <c r="S311" s="26">
        <f>Q311/10*12</f>
        <v>0</v>
      </c>
      <c r="T311" s="164">
        <f>VLOOKUP(B311,'תקבולים 2017'!$A$2:$Q$248,17,0)</f>
        <v>0</v>
      </c>
      <c r="U311" s="27">
        <v>0</v>
      </c>
    </row>
    <row r="312" spans="2:21" ht="15">
      <c r="B312" s="24">
        <v>1346411930</v>
      </c>
      <c r="C312" s="25" t="str">
        <f t="shared" si="72"/>
        <v>930</v>
      </c>
      <c r="D312" s="25" t="str">
        <f t="shared" si="73"/>
        <v>346411</v>
      </c>
      <c r="E312" s="25" t="s">
        <v>315</v>
      </c>
      <c r="F312" s="26"/>
      <c r="G312" s="26"/>
      <c r="H312" s="26"/>
      <c r="I312" s="26"/>
      <c r="J312" s="26"/>
      <c r="K312" s="26"/>
      <c r="L312" s="26"/>
      <c r="M312" s="26"/>
      <c r="N312" s="26"/>
      <c r="O312" s="44"/>
      <c r="P312" s="26">
        <v>0</v>
      </c>
      <c r="Q312" s="26">
        <v>0</v>
      </c>
      <c r="R312" s="26">
        <v>0</v>
      </c>
      <c r="S312" s="26">
        <v>0</v>
      </c>
      <c r="T312" s="164">
        <v>0</v>
      </c>
      <c r="U312" s="27">
        <v>10000</v>
      </c>
    </row>
    <row r="313" spans="2:21" ht="15">
      <c r="B313" s="24">
        <v>1346500930</v>
      </c>
      <c r="C313" s="25" t="str">
        <f t="shared" si="72"/>
        <v>930</v>
      </c>
      <c r="D313" s="25" t="str">
        <f t="shared" si="73"/>
        <v>346500</v>
      </c>
      <c r="E313" s="25" t="s">
        <v>307</v>
      </c>
      <c r="F313" s="26"/>
      <c r="G313" s="26"/>
      <c r="H313" s="26"/>
      <c r="I313" s="26"/>
      <c r="J313" s="26"/>
      <c r="K313" s="26"/>
      <c r="L313" s="26"/>
      <c r="M313" s="26"/>
      <c r="N313" s="26"/>
      <c r="O313" s="44"/>
      <c r="P313" s="26">
        <v>0</v>
      </c>
      <c r="Q313" s="26">
        <v>0</v>
      </c>
      <c r="R313" s="26">
        <v>0</v>
      </c>
      <c r="S313" s="26">
        <v>0</v>
      </c>
      <c r="T313" s="164">
        <v>0</v>
      </c>
      <c r="U313" s="27">
        <v>0</v>
      </c>
    </row>
    <row r="314" spans="2:21" ht="15">
      <c r="B314" s="24">
        <v>1346610930</v>
      </c>
      <c r="C314" s="25" t="str">
        <f t="shared" si="72"/>
        <v>930</v>
      </c>
      <c r="D314" s="25" t="str">
        <f t="shared" si="73"/>
        <v>346610</v>
      </c>
      <c r="E314" s="25" t="s">
        <v>316</v>
      </c>
      <c r="F314" s="26"/>
      <c r="G314" s="26"/>
      <c r="H314" s="26"/>
      <c r="I314" s="26"/>
      <c r="J314" s="26">
        <v>15431</v>
      </c>
      <c r="K314" s="26">
        <f>+J314*1.71428571428571</f>
        <v>26453.14285714279</v>
      </c>
      <c r="L314" s="26">
        <v>20431</v>
      </c>
      <c r="M314" s="26">
        <v>23300</v>
      </c>
      <c r="N314" s="26">
        <v>23300</v>
      </c>
      <c r="O314" s="44" t="e">
        <f>VLOOKUP(B314,[3]כספי!$A$1:$E$324,5,0)</f>
        <v>#N/A</v>
      </c>
      <c r="P314" s="26">
        <f>VLOOKUP(B:B,'[3]תקבולים 2017'!B:R,15,0)</f>
        <v>82000</v>
      </c>
      <c r="Q314" s="26">
        <f>-VLOOKUP(B:B,'[3]דוח כספי 10.17 מעודכן'!A:D,4,0)</f>
        <v>69410</v>
      </c>
      <c r="R314" s="26">
        <f>VLOOKUP(B:B,'[3]תקבולים 2017'!B:T,17,0)</f>
        <v>83000</v>
      </c>
      <c r="S314" s="26">
        <f>Q314/10*12</f>
        <v>83292</v>
      </c>
      <c r="T314" s="164">
        <f>VLOOKUP(B314,'תקבולים 2017'!$A$2:$Q$248,17,0)</f>
        <v>83000</v>
      </c>
      <c r="U314" s="27">
        <v>0</v>
      </c>
    </row>
    <row r="315" spans="2:21" ht="15">
      <c r="B315" s="24">
        <v>1346700930</v>
      </c>
      <c r="C315" s="25" t="str">
        <f t="shared" si="72"/>
        <v>930</v>
      </c>
      <c r="D315" s="25" t="str">
        <f t="shared" si="73"/>
        <v>346700</v>
      </c>
      <c r="E315" s="25" t="s">
        <v>271</v>
      </c>
      <c r="F315" s="26"/>
      <c r="G315" s="26"/>
      <c r="H315" s="26"/>
      <c r="I315" s="26"/>
      <c r="J315" s="26"/>
      <c r="K315" s="26"/>
      <c r="L315" s="26"/>
      <c r="M315" s="26"/>
      <c r="N315" s="26"/>
      <c r="O315" s="44"/>
      <c r="P315" s="26">
        <f>VLOOKUP(B:B,'[3]תקבולים 2017'!B:R,15,0)</f>
        <v>40000</v>
      </c>
      <c r="Q315" s="26">
        <f>-VLOOKUP(B:B,'[3]דוח כספי 10.17 מעודכן'!A:D,4,0)</f>
        <v>47932</v>
      </c>
      <c r="R315" s="26">
        <f>VLOOKUP(B:B,'[3]תקבולים 2017'!B:T,17,0)</f>
        <v>58000</v>
      </c>
      <c r="S315" s="26">
        <f>Q315/10*12</f>
        <v>57518.399999999994</v>
      </c>
      <c r="T315" s="164">
        <f>VLOOKUP(B315,'תקבולים 2017'!$A$2:$Q$248,17,0)</f>
        <v>58000</v>
      </c>
      <c r="U315" s="27">
        <v>0</v>
      </c>
    </row>
    <row r="316" spans="2:21" ht="15">
      <c r="B316" s="24">
        <v>1346800930</v>
      </c>
      <c r="C316" s="25" t="str">
        <f t="shared" si="72"/>
        <v>930</v>
      </c>
      <c r="D316" s="25" t="str">
        <f t="shared" si="73"/>
        <v>346800</v>
      </c>
      <c r="E316" s="25" t="s">
        <v>315</v>
      </c>
      <c r="F316" s="26"/>
      <c r="G316" s="26"/>
      <c r="H316" s="26"/>
      <c r="I316" s="26"/>
      <c r="J316" s="26"/>
      <c r="K316" s="26"/>
      <c r="L316" s="26"/>
      <c r="M316" s="26"/>
      <c r="N316" s="26"/>
      <c r="O316" s="44" t="e">
        <f>VLOOKUP(B316,[3]כספי!$A$1:$E$324,5,0)</f>
        <v>#N/A</v>
      </c>
      <c r="P316" s="26">
        <f>VLOOKUP(B:B,'[3]תקבולים 2017'!B:R,15,0)</f>
        <v>167000</v>
      </c>
      <c r="Q316" s="26">
        <f>-VLOOKUP(B:B,'[3]דוח כספי 10.17 מעודכן'!A:D,4,0)</f>
        <v>126986</v>
      </c>
      <c r="R316" s="26">
        <f>VLOOKUP(B:B,'[3]תקבולים 2017'!B:T,17,0)</f>
        <v>152000</v>
      </c>
      <c r="S316" s="26">
        <f>Q316/10*12</f>
        <v>152383.20000000001</v>
      </c>
      <c r="T316" s="164">
        <f>VLOOKUP(B316,'תקבולים 2017'!$A$2:$Q$248,17,0)</f>
        <v>152000</v>
      </c>
      <c r="U316" s="27">
        <v>0</v>
      </c>
    </row>
    <row r="317" spans="2:21" ht="15">
      <c r="B317" s="24">
        <v>1347006930</v>
      </c>
      <c r="C317" s="25" t="str">
        <f t="shared" si="72"/>
        <v>930</v>
      </c>
      <c r="D317" s="25" t="str">
        <f t="shared" si="73"/>
        <v>347006</v>
      </c>
      <c r="E317" s="25" t="s">
        <v>317</v>
      </c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>
        <v>0</v>
      </c>
      <c r="Q317" s="26">
        <v>0</v>
      </c>
      <c r="R317" s="26">
        <v>0</v>
      </c>
      <c r="S317" s="26">
        <v>0</v>
      </c>
      <c r="T317" s="164">
        <v>0</v>
      </c>
      <c r="U317" s="27">
        <v>55000</v>
      </c>
    </row>
    <row r="318" spans="2:21" ht="15">
      <c r="B318" s="24">
        <v>1347007930</v>
      </c>
      <c r="C318" s="25" t="str">
        <f t="shared" si="72"/>
        <v>930</v>
      </c>
      <c r="D318" s="25" t="str">
        <f t="shared" si="73"/>
        <v>347007</v>
      </c>
      <c r="E318" s="25" t="s">
        <v>318</v>
      </c>
      <c r="F318" s="26"/>
      <c r="G318" s="26"/>
      <c r="H318" s="26"/>
      <c r="I318" s="26"/>
      <c r="J318" s="26"/>
      <c r="K318" s="26"/>
      <c r="L318" s="26"/>
      <c r="M318" s="26"/>
      <c r="N318" s="26"/>
      <c r="O318" s="44"/>
      <c r="P318" s="26">
        <v>0</v>
      </c>
      <c r="Q318" s="26">
        <v>0</v>
      </c>
      <c r="R318" s="26">
        <v>0</v>
      </c>
      <c r="S318" s="26">
        <v>0</v>
      </c>
      <c r="T318" s="164">
        <v>0</v>
      </c>
      <c r="U318" s="27">
        <v>13000</v>
      </c>
    </row>
    <row r="319" spans="2:21" ht="15">
      <c r="B319" s="24">
        <v>1347100930</v>
      </c>
      <c r="C319" s="25" t="str">
        <f t="shared" si="72"/>
        <v>930</v>
      </c>
      <c r="D319" s="25" t="str">
        <f t="shared" si="73"/>
        <v>347100</v>
      </c>
      <c r="E319" s="25" t="s">
        <v>319</v>
      </c>
      <c r="F319" s="26"/>
      <c r="G319" s="26"/>
      <c r="H319" s="26"/>
      <c r="I319" s="26"/>
      <c r="J319" s="26"/>
      <c r="K319" s="26"/>
      <c r="L319" s="26"/>
      <c r="M319" s="26"/>
      <c r="N319" s="26"/>
      <c r="O319" s="44"/>
      <c r="P319" s="26">
        <f>VLOOKUP(B:B,'[3]תקבולים 2017'!B:R,15,0)</f>
        <v>4000</v>
      </c>
      <c r="Q319" s="26">
        <f>-VLOOKUP(B:B,'[3]דוח כספי 10.17 מעודכן'!A:D,4,0)</f>
        <v>47178</v>
      </c>
      <c r="R319" s="26">
        <f>VLOOKUP(B:B,'[3]תקבולים 2017'!B:T,17,0)</f>
        <v>57000</v>
      </c>
      <c r="S319" s="26">
        <f>Q319/10*12</f>
        <v>56613.600000000006</v>
      </c>
      <c r="T319" s="164">
        <f>VLOOKUP(B319,'תקבולים 2017'!$A$2:$Q$248,17,0)</f>
        <v>57000</v>
      </c>
      <c r="U319" s="27">
        <v>0</v>
      </c>
    </row>
    <row r="320" spans="2:21" ht="15">
      <c r="B320" s="24">
        <v>1347200930</v>
      </c>
      <c r="C320" s="25" t="str">
        <f t="shared" si="72"/>
        <v>930</v>
      </c>
      <c r="D320" s="25" t="str">
        <f t="shared" si="73"/>
        <v>347200</v>
      </c>
      <c r="E320" s="25" t="s">
        <v>320</v>
      </c>
      <c r="F320" s="26"/>
      <c r="G320" s="26"/>
      <c r="H320" s="26"/>
      <c r="I320" s="26"/>
      <c r="J320" s="26"/>
      <c r="K320" s="26"/>
      <c r="L320" s="26"/>
      <c r="M320" s="26"/>
      <c r="N320" s="26"/>
      <c r="O320" s="44"/>
      <c r="P320" s="26">
        <f>VLOOKUP(B:B,'[3]תקבולים 2017'!B:R,15,0)</f>
        <v>0</v>
      </c>
      <c r="Q320" s="26">
        <f>-VLOOKUP(B:B,'[3]דוח כספי 10.17 מעודכן'!A:D,4,0)</f>
        <v>0</v>
      </c>
      <c r="R320" s="26">
        <f>VLOOKUP(B:B,'[3]תקבולים 2017'!B:T,17,0)</f>
        <v>0</v>
      </c>
      <c r="S320" s="26">
        <f>Q320/10*12</f>
        <v>0</v>
      </c>
      <c r="T320" s="164">
        <f>VLOOKUP(B320,'תקבולים 2017'!$A$2:$Q$248,17,0)</f>
        <v>0</v>
      </c>
      <c r="U320" s="27">
        <v>0</v>
      </c>
    </row>
    <row r="321" spans="2:21" ht="15">
      <c r="B321" s="24">
        <v>1347210930</v>
      </c>
      <c r="C321" s="25" t="str">
        <f t="shared" si="72"/>
        <v>930</v>
      </c>
      <c r="D321" s="25" t="str">
        <f t="shared" si="73"/>
        <v>347210</v>
      </c>
      <c r="E321" s="25" t="s">
        <v>266</v>
      </c>
      <c r="F321" s="26"/>
      <c r="G321" s="26"/>
      <c r="H321" s="26"/>
      <c r="I321" s="26"/>
      <c r="J321" s="26"/>
      <c r="K321" s="26"/>
      <c r="L321" s="26"/>
      <c r="M321" s="26"/>
      <c r="N321" s="26"/>
      <c r="O321" s="44"/>
      <c r="P321" s="26">
        <v>0</v>
      </c>
      <c r="Q321" s="26">
        <v>0</v>
      </c>
      <c r="R321" s="26">
        <v>0</v>
      </c>
      <c r="S321" s="26">
        <v>0</v>
      </c>
      <c r="T321" s="164">
        <v>0</v>
      </c>
      <c r="U321" s="27">
        <v>220000</v>
      </c>
    </row>
    <row r="322" spans="2:21" ht="15">
      <c r="B322" s="24">
        <v>1347300990</v>
      </c>
      <c r="C322" s="25" t="str">
        <f t="shared" si="72"/>
        <v>990</v>
      </c>
      <c r="D322" s="25" t="str">
        <f t="shared" si="73"/>
        <v>347300</v>
      </c>
      <c r="E322" s="25" t="s">
        <v>321</v>
      </c>
      <c r="F322" s="26"/>
      <c r="G322" s="26"/>
      <c r="H322" s="26"/>
      <c r="I322" s="26"/>
      <c r="J322" s="26"/>
      <c r="K322" s="26"/>
      <c r="L322" s="26"/>
      <c r="M322" s="26"/>
      <c r="N322" s="26"/>
      <c r="O322" s="44"/>
      <c r="P322" s="26">
        <f>VLOOKUP(B:B,'[3]תקבולים 2017'!B:R,15,0)</f>
        <v>0</v>
      </c>
      <c r="Q322" s="26">
        <f>-VLOOKUP(B:B,'[3]דוח כספי 10.17 מעודכן'!A:D,4,0)</f>
        <v>0</v>
      </c>
      <c r="R322" s="26">
        <f>VLOOKUP(B:B,'[3]תקבולים 2017'!B:T,17,0)</f>
        <v>0</v>
      </c>
      <c r="S322" s="26">
        <f>Q322/10*12</f>
        <v>0</v>
      </c>
      <c r="T322" s="164">
        <f>VLOOKUP(B322,'תקבולים 2017'!$A$2:$Q$248,17,0)</f>
        <v>0</v>
      </c>
      <c r="U322" s="27">
        <v>0</v>
      </c>
    </row>
    <row r="323" spans="2:21" ht="15">
      <c r="B323" s="24">
        <v>1347400930</v>
      </c>
      <c r="C323" s="25" t="str">
        <f t="shared" si="72"/>
        <v>930</v>
      </c>
      <c r="D323" s="25" t="str">
        <f t="shared" si="73"/>
        <v>347400</v>
      </c>
      <c r="E323" s="25" t="s">
        <v>322</v>
      </c>
      <c r="F323" s="26"/>
      <c r="G323" s="26"/>
      <c r="H323" s="26"/>
      <c r="I323" s="26"/>
      <c r="J323" s="26"/>
      <c r="K323" s="26"/>
      <c r="L323" s="26"/>
      <c r="M323" s="26"/>
      <c r="N323" s="26"/>
      <c r="O323" s="44"/>
      <c r="P323" s="26">
        <v>0</v>
      </c>
      <c r="Q323" s="26">
        <v>0</v>
      </c>
      <c r="R323" s="26">
        <v>0</v>
      </c>
      <c r="S323" s="26">
        <v>0</v>
      </c>
      <c r="T323" s="164">
        <v>0</v>
      </c>
      <c r="U323" s="27">
        <v>32000</v>
      </c>
    </row>
    <row r="324" spans="2:21" ht="15">
      <c r="B324" s="28"/>
      <c r="C324" s="29"/>
      <c r="D324" s="29"/>
      <c r="E324" s="29"/>
      <c r="F324" s="30"/>
      <c r="G324" s="30"/>
      <c r="H324" s="30"/>
      <c r="I324" s="30"/>
      <c r="J324" s="30"/>
      <c r="K324" s="30"/>
      <c r="L324" s="30"/>
      <c r="M324" s="30"/>
      <c r="N324" s="30"/>
      <c r="O324" s="71"/>
      <c r="P324" s="30"/>
      <c r="Q324" s="30"/>
      <c r="R324" s="30"/>
      <c r="S324" s="30"/>
      <c r="T324" s="165"/>
      <c r="U324" s="31"/>
    </row>
    <row r="325" spans="2:21" ht="15">
      <c r="B325" s="28"/>
      <c r="C325" s="29"/>
      <c r="D325" s="29"/>
      <c r="E325" s="29" t="s">
        <v>323</v>
      </c>
      <c r="F325" s="30" t="e">
        <f>SUM(#REF!)</f>
        <v>#REF!</v>
      </c>
      <c r="G325" s="30" t="e">
        <f>SUM(#REF!)</f>
        <v>#REF!</v>
      </c>
      <c r="H325" s="30" t="e">
        <f>SUM(#REF!)</f>
        <v>#REF!</v>
      </c>
      <c r="I325" s="30" t="e">
        <f>SUM(#REF!)</f>
        <v>#REF!</v>
      </c>
      <c r="J325" s="30" t="e">
        <f>SUM(#REF!)</f>
        <v>#REF!</v>
      </c>
      <c r="K325" s="30" t="e">
        <f>SUM(#REF!)</f>
        <v>#REF!</v>
      </c>
      <c r="L325" s="30" t="e">
        <f>SUM(#REF!)</f>
        <v>#REF!</v>
      </c>
      <c r="M325" s="30" t="e">
        <f>SUM(#REF!)</f>
        <v>#REF!</v>
      </c>
      <c r="N325" s="30" t="e">
        <f>SUM(#REF!)</f>
        <v>#REF!</v>
      </c>
      <c r="O325" s="30" t="e">
        <f>SUM(#REF!)</f>
        <v>#REF!</v>
      </c>
      <c r="P325" s="30">
        <f>SUM(P305:P324)</f>
        <v>303000</v>
      </c>
      <c r="Q325" s="30">
        <f t="shared" ref="Q325:U325" si="74">SUM(Q305:Q324)</f>
        <v>300294</v>
      </c>
      <c r="R325" s="30">
        <f t="shared" si="74"/>
        <v>361000</v>
      </c>
      <c r="S325" s="30">
        <f t="shared" si="74"/>
        <v>360352.80000000005</v>
      </c>
      <c r="T325" s="31">
        <f t="shared" ref="T325" si="75">SUM(T305:T324)</f>
        <v>361000</v>
      </c>
      <c r="U325" s="31">
        <f t="shared" si="74"/>
        <v>549000</v>
      </c>
    </row>
    <row r="326" spans="2:21" ht="15">
      <c r="B326" s="32"/>
      <c r="C326" s="33"/>
      <c r="D326" s="33"/>
      <c r="E326" s="33" t="s">
        <v>324</v>
      </c>
      <c r="F326" s="34" t="e">
        <f t="shared" ref="F326:S326" si="76">F325+F317+F304+F292+F285+F271+F253</f>
        <v>#REF!</v>
      </c>
      <c r="G326" s="34" t="e">
        <f t="shared" si="76"/>
        <v>#REF!</v>
      </c>
      <c r="H326" s="34" t="e">
        <f t="shared" si="76"/>
        <v>#REF!</v>
      </c>
      <c r="I326" s="34" t="e">
        <f t="shared" si="76"/>
        <v>#REF!</v>
      </c>
      <c r="J326" s="34" t="e">
        <f t="shared" si="76"/>
        <v>#REF!</v>
      </c>
      <c r="K326" s="34" t="e">
        <f t="shared" si="76"/>
        <v>#REF!</v>
      </c>
      <c r="L326" s="34" t="e">
        <f t="shared" si="76"/>
        <v>#REF!</v>
      </c>
      <c r="M326" s="34" t="e">
        <f t="shared" si="76"/>
        <v>#REF!</v>
      </c>
      <c r="N326" s="34" t="e">
        <f t="shared" si="76"/>
        <v>#REF!</v>
      </c>
      <c r="O326" s="34" t="e">
        <f t="shared" si="76"/>
        <v>#REF!</v>
      </c>
      <c r="P326" s="34">
        <f t="shared" si="76"/>
        <v>6640000</v>
      </c>
      <c r="Q326" s="34">
        <f t="shared" si="76"/>
        <v>4501809</v>
      </c>
      <c r="R326" s="34">
        <f t="shared" si="76"/>
        <v>6442000</v>
      </c>
      <c r="S326" s="34">
        <f t="shared" si="76"/>
        <v>5402170.8000000007</v>
      </c>
      <c r="T326" s="35">
        <f>T325+T304+T285+T271+T253</f>
        <v>6442000</v>
      </c>
      <c r="U326" s="35">
        <f>U325+U304+U285+U271+U253</f>
        <v>6455500</v>
      </c>
    </row>
    <row r="327" spans="2:21" ht="15">
      <c r="B327" s="36"/>
      <c r="C327" s="37" t="s">
        <v>325</v>
      </c>
      <c r="D327" s="37"/>
      <c r="E327" s="37"/>
      <c r="F327" s="37"/>
      <c r="G327" s="37"/>
      <c r="H327" s="37"/>
      <c r="I327" s="38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164"/>
      <c r="U327" s="21"/>
    </row>
    <row r="328" spans="2:21" ht="15">
      <c r="B328" s="18">
        <v>1413100410</v>
      </c>
      <c r="C328" s="19" t="str">
        <f t="shared" ref="C328:C342" si="77">MID(B328,8,3)</f>
        <v>410</v>
      </c>
      <c r="D328" s="19" t="str">
        <f t="shared" ref="D328:D342" si="78">MID(B328,2,6)</f>
        <v>413100</v>
      </c>
      <c r="E328" s="19" t="s">
        <v>326</v>
      </c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>
        <f>VLOOKUP(B:B,'[3]תקבולים 2017'!B:R,15,0)</f>
        <v>2213000</v>
      </c>
      <c r="Q328" s="20">
        <f>-VLOOKUP(B:B,'[3]דוח כספי 10.17 מעודכן'!A:D,4,0)</f>
        <v>2091714.2</v>
      </c>
      <c r="R328" s="20">
        <f>VLOOKUP(B:B,'[3]תקבולים 2017'!B:T,17,0)</f>
        <v>2500000</v>
      </c>
      <c r="S328" s="20">
        <f t="shared" ref="S328:S342" si="79">Q328/10*12</f>
        <v>2510057.04</v>
      </c>
      <c r="T328" s="164">
        <f>VLOOKUP(B328,'תקבולים 2017'!$A$2:$Q$248,17,0)</f>
        <v>2500000</v>
      </c>
      <c r="U328" s="21">
        <v>2500000</v>
      </c>
    </row>
    <row r="329" spans="2:21" ht="15">
      <c r="B329" s="18">
        <v>1413110410</v>
      </c>
      <c r="C329" s="19" t="str">
        <f t="shared" si="77"/>
        <v>410</v>
      </c>
      <c r="D329" s="19" t="str">
        <f t="shared" si="78"/>
        <v>413110</v>
      </c>
      <c r="E329" s="19" t="s">
        <v>327</v>
      </c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>
        <f>VLOOKUP(B:B,'[3]תקבולים 2017'!B:R,15,0)</f>
        <v>1405000</v>
      </c>
      <c r="Q329" s="20">
        <f>-VLOOKUP(B:B,'[3]דוח כספי 10.17 מעודכן'!A:D,4,0)</f>
        <v>119628.73</v>
      </c>
      <c r="R329" s="20">
        <f>VLOOKUP(B:B,'[3]תקבולים 2017'!B:T,17,0)</f>
        <v>1950500</v>
      </c>
      <c r="S329" s="20">
        <f t="shared" si="79"/>
        <v>143554.476</v>
      </c>
      <c r="T329" s="164">
        <f>VLOOKUP(B329,'תקבולים 2017'!$A$2:$Q$248,17,0)</f>
        <v>1950500</v>
      </c>
      <c r="U329" s="21">
        <v>1900000</v>
      </c>
    </row>
    <row r="330" spans="2:21" ht="15">
      <c r="B330" s="24">
        <v>1413111410</v>
      </c>
      <c r="C330" s="25" t="str">
        <f t="shared" si="77"/>
        <v>410</v>
      </c>
      <c r="D330" s="25" t="str">
        <f t="shared" si="78"/>
        <v>413111</v>
      </c>
      <c r="E330" s="25" t="s">
        <v>328</v>
      </c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>
        <f>VLOOKUP(B:B,'[3]תקבולים 2017'!B:R,15,0)</f>
        <v>58000</v>
      </c>
      <c r="Q330" s="26">
        <f>-VLOOKUP(B:B,'[3]דוח כספי 10.17 מעודכן'!A:D,4,0)</f>
        <v>1347.19</v>
      </c>
      <c r="R330" s="26">
        <f>VLOOKUP(B:B,'[3]תקבולים 2017'!B:T,17,0)</f>
        <v>0</v>
      </c>
      <c r="S330" s="26">
        <f t="shared" si="79"/>
        <v>1616.6279999999999</v>
      </c>
      <c r="T330" s="164">
        <f>VLOOKUP(B330,'תקבולים 2017'!$A$2:$Q$248,17,0)</f>
        <v>0</v>
      </c>
      <c r="U330" s="27">
        <v>0</v>
      </c>
    </row>
    <row r="331" spans="2:21" ht="15">
      <c r="B331" s="24">
        <v>1413112410</v>
      </c>
      <c r="C331" s="25" t="str">
        <f t="shared" si="77"/>
        <v>410</v>
      </c>
      <c r="D331" s="25" t="str">
        <f t="shared" si="78"/>
        <v>413112</v>
      </c>
      <c r="E331" s="25" t="s">
        <v>329</v>
      </c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>
        <f>VLOOKUP(B:B,'[3]תקבולים 2017'!B:R,15,0)</f>
        <v>48000</v>
      </c>
      <c r="Q331" s="26">
        <f>-VLOOKUP(B:B,'[3]דוח כספי 10.17 מעודכן'!A:D,4,0)</f>
        <v>88960.05</v>
      </c>
      <c r="R331" s="26">
        <f>VLOOKUP(B:B,'[3]תקבולים 2017'!B:T,17,0)</f>
        <v>0</v>
      </c>
      <c r="S331" s="26">
        <f t="shared" si="79"/>
        <v>106752.06000000001</v>
      </c>
      <c r="T331" s="164">
        <f>VLOOKUP(B331,'תקבולים 2017'!$A$2:$Q$248,17,0)</f>
        <v>0</v>
      </c>
      <c r="U331" s="27">
        <v>0</v>
      </c>
    </row>
    <row r="332" spans="2:21" ht="15">
      <c r="B332" s="24">
        <v>1413113410</v>
      </c>
      <c r="C332" s="25" t="str">
        <f t="shared" si="77"/>
        <v>410</v>
      </c>
      <c r="D332" s="25" t="str">
        <f t="shared" si="78"/>
        <v>413113</v>
      </c>
      <c r="E332" s="25" t="s">
        <v>330</v>
      </c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>
        <f>VLOOKUP(B:B,'[3]תקבולים 2017'!B:R,15,0)</f>
        <v>78000</v>
      </c>
      <c r="Q332" s="26">
        <f>-VLOOKUP(B:B,'[3]דוח כספי 10.17 מעודכן'!A:D,4,0)</f>
        <v>21063.87</v>
      </c>
      <c r="R332" s="26">
        <f>VLOOKUP(B:B,'[3]תקבולים 2017'!B:T,17,0)</f>
        <v>0</v>
      </c>
      <c r="S332" s="26">
        <f t="shared" si="79"/>
        <v>25276.643999999997</v>
      </c>
      <c r="T332" s="164">
        <f>VLOOKUP(B332,'תקבולים 2017'!$A$2:$Q$248,17,0)</f>
        <v>0</v>
      </c>
      <c r="U332" s="27">
        <v>0</v>
      </c>
    </row>
    <row r="333" spans="2:21" ht="15">
      <c r="B333" s="24">
        <v>1413114410</v>
      </c>
      <c r="C333" s="25" t="str">
        <f t="shared" si="77"/>
        <v>410</v>
      </c>
      <c r="D333" s="25" t="str">
        <f t="shared" si="78"/>
        <v>413114</v>
      </c>
      <c r="E333" s="25" t="s">
        <v>331</v>
      </c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>
        <f>VLOOKUP(B:B,'[3]תקבולים 2017'!B:R,15,0)</f>
        <v>91000</v>
      </c>
      <c r="Q333" s="26">
        <f>-VLOOKUP(B:B,'[3]דוח כספי 10.17 מעודכן'!A:D,4,0)</f>
        <v>15849.01</v>
      </c>
      <c r="R333" s="26">
        <f>VLOOKUP(B:B,'[3]תקבולים 2017'!B:T,17,0)</f>
        <v>0</v>
      </c>
      <c r="S333" s="26">
        <f t="shared" si="79"/>
        <v>19018.812000000002</v>
      </c>
      <c r="T333" s="164">
        <f>VLOOKUP(B333,'תקבולים 2017'!$A$2:$Q$248,17,0)</f>
        <v>0</v>
      </c>
      <c r="U333" s="27">
        <v>0</v>
      </c>
    </row>
    <row r="334" spans="2:21" ht="15">
      <c r="B334" s="24">
        <v>1413115410</v>
      </c>
      <c r="C334" s="25" t="str">
        <f t="shared" si="77"/>
        <v>410</v>
      </c>
      <c r="D334" s="25" t="str">
        <f t="shared" si="78"/>
        <v>413115</v>
      </c>
      <c r="E334" s="25" t="s">
        <v>332</v>
      </c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>
        <f>VLOOKUP(B:B,'[3]תקבולים 2017'!B:R,15,0)</f>
        <v>74000</v>
      </c>
      <c r="Q334" s="26">
        <f>-VLOOKUP(B:B,'[3]דוח כספי 10.17 מעודכן'!A:D,4,0)</f>
        <v>21305.25</v>
      </c>
      <c r="R334" s="26">
        <f>VLOOKUP(B:B,'[3]תקבולים 2017'!B:T,17,0)</f>
        <v>0</v>
      </c>
      <c r="S334" s="26">
        <f t="shared" si="79"/>
        <v>25566.300000000003</v>
      </c>
      <c r="T334" s="164">
        <f>VLOOKUP(B334,'תקבולים 2017'!$A$2:$Q$248,17,0)</f>
        <v>0</v>
      </c>
      <c r="U334" s="27">
        <v>0</v>
      </c>
    </row>
    <row r="335" spans="2:21" ht="15">
      <c r="B335" s="24">
        <v>1413116410</v>
      </c>
      <c r="C335" s="25" t="str">
        <f t="shared" si="77"/>
        <v>410</v>
      </c>
      <c r="D335" s="25" t="str">
        <f t="shared" si="78"/>
        <v>413116</v>
      </c>
      <c r="E335" s="25" t="s">
        <v>333</v>
      </c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>
        <f>VLOOKUP(B:B,'[3]תקבולים 2017'!B:R,15,0)</f>
        <v>128000</v>
      </c>
      <c r="Q335" s="26">
        <f>-VLOOKUP(B:B,'[3]דוח כספי 10.17 מעודכן'!A:D,4,0)</f>
        <v>27552.400000000001</v>
      </c>
      <c r="R335" s="26">
        <f>VLOOKUP(B:B,'[3]תקבולים 2017'!B:T,17,0)</f>
        <v>0</v>
      </c>
      <c r="S335" s="26">
        <f t="shared" si="79"/>
        <v>33062.880000000005</v>
      </c>
      <c r="T335" s="164">
        <f>VLOOKUP(B335,'תקבולים 2017'!$A$2:$Q$248,17,0)</f>
        <v>0</v>
      </c>
      <c r="U335" s="27">
        <v>0</v>
      </c>
    </row>
    <row r="336" spans="2:21" ht="15">
      <c r="B336" s="24">
        <v>1413117410</v>
      </c>
      <c r="C336" s="25" t="str">
        <f t="shared" si="77"/>
        <v>410</v>
      </c>
      <c r="D336" s="25" t="str">
        <f t="shared" si="78"/>
        <v>413117</v>
      </c>
      <c r="E336" s="25" t="s">
        <v>334</v>
      </c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>
        <f>VLOOKUP(B:B,'[3]תקבולים 2017'!B:R,15,0)</f>
        <v>361000</v>
      </c>
      <c r="Q336" s="26">
        <f>-VLOOKUP(B:B,'[3]דוח כספי 10.17 מעודכן'!A:D,4,0)</f>
        <v>73835.520000000004</v>
      </c>
      <c r="R336" s="26">
        <v>0</v>
      </c>
      <c r="S336" s="26">
        <f t="shared" si="79"/>
        <v>88602.624000000011</v>
      </c>
      <c r="T336" s="164">
        <f>VLOOKUP(B336,'תקבולים 2017'!$A$2:$Q$248,17,0)</f>
        <v>0</v>
      </c>
      <c r="U336" s="27">
        <v>0</v>
      </c>
    </row>
    <row r="337" spans="2:23" ht="15">
      <c r="B337" s="24">
        <v>1413118410</v>
      </c>
      <c r="C337" s="25" t="str">
        <f t="shared" si="77"/>
        <v>410</v>
      </c>
      <c r="D337" s="25" t="str">
        <f t="shared" si="78"/>
        <v>413118</v>
      </c>
      <c r="E337" s="25" t="s">
        <v>335</v>
      </c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>
        <f>VLOOKUP(B:B,'[3]תקבולים 2017'!B:R,15,0)</f>
        <v>0</v>
      </c>
      <c r="Q337" s="26">
        <f>-VLOOKUP(B:B,'[3]דוח כספי 10.17 מעודכן'!A:D,4,0)</f>
        <v>109263.76</v>
      </c>
      <c r="R337" s="26">
        <f>VLOOKUP(B:B,'[3]תקבולים 2017'!B:T,17,0)</f>
        <v>0</v>
      </c>
      <c r="S337" s="26">
        <f t="shared" si="79"/>
        <v>131116.51199999999</v>
      </c>
      <c r="T337" s="164">
        <f>VLOOKUP(B337,'תקבולים 2017'!$A$2:$Q$248,17,0)</f>
        <v>0</v>
      </c>
      <c r="U337" s="27">
        <v>0</v>
      </c>
    </row>
    <row r="338" spans="2:23" ht="15">
      <c r="B338" s="24">
        <v>1413119410</v>
      </c>
      <c r="C338" s="25" t="str">
        <f t="shared" si="77"/>
        <v>410</v>
      </c>
      <c r="D338" s="25" t="str">
        <f t="shared" si="78"/>
        <v>413119</v>
      </c>
      <c r="E338" s="25" t="s">
        <v>336</v>
      </c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>
        <f>VLOOKUP(B:B,'[3]תקבולים 2017'!B:R,15,0)</f>
        <v>0</v>
      </c>
      <c r="Q338" s="26">
        <f>-VLOOKUP(B:B,'[3]דוח כספי 10.17 מעודכן'!A:D,4,0)</f>
        <v>694232.91</v>
      </c>
      <c r="R338" s="26">
        <f>VLOOKUP(B:B,'[3]תקבולים 2017'!B:T,17,0)</f>
        <v>0</v>
      </c>
      <c r="S338" s="26">
        <f t="shared" si="79"/>
        <v>833079.49199999997</v>
      </c>
      <c r="T338" s="164">
        <f>VLOOKUP(B338,'תקבולים 2017'!$A$2:$Q$248,17,0)</f>
        <v>0</v>
      </c>
      <c r="U338" s="27">
        <v>0</v>
      </c>
    </row>
    <row r="339" spans="2:23" ht="15">
      <c r="B339" s="18">
        <v>1413120410</v>
      </c>
      <c r="C339" s="19" t="str">
        <f t="shared" si="77"/>
        <v>410</v>
      </c>
      <c r="D339" s="19" t="str">
        <f t="shared" si="78"/>
        <v>413120</v>
      </c>
      <c r="E339" s="19" t="s">
        <v>337</v>
      </c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>
        <f>VLOOKUP(B:B,'[3]תקבולים 2017'!B:R,15,0)</f>
        <v>5000</v>
      </c>
      <c r="Q339" s="20">
        <f>-VLOOKUP(B:B,'[3]דוח כספי 10.17 מעודכן'!A:D,4,0)</f>
        <v>2687.16</v>
      </c>
      <c r="R339" s="20">
        <f>VLOOKUP(B:B,'[3]תקבולים 2017'!B:T,17,0)</f>
        <v>3000</v>
      </c>
      <c r="S339" s="20">
        <f t="shared" si="79"/>
        <v>3224.5920000000001</v>
      </c>
      <c r="T339" s="164">
        <f>VLOOKUP(B339,'תקבולים 2017'!$A$2:$Q$248,17,0)</f>
        <v>3000</v>
      </c>
      <c r="U339" s="21">
        <v>0</v>
      </c>
    </row>
    <row r="340" spans="2:23" ht="15">
      <c r="B340" s="18">
        <v>1413130410</v>
      </c>
      <c r="C340" s="19" t="str">
        <f t="shared" si="77"/>
        <v>410</v>
      </c>
      <c r="D340" s="19" t="str">
        <f t="shared" si="78"/>
        <v>413130</v>
      </c>
      <c r="E340" s="19" t="s">
        <v>338</v>
      </c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>
        <f>VLOOKUP(B:B,'[3]תקבולים 2017'!B:R,15,0)</f>
        <v>0</v>
      </c>
      <c r="Q340" s="20">
        <f>-VLOOKUP(B:B,'[3]דוח כספי 10.17 מעודכן'!A:D,4,0)</f>
        <v>0</v>
      </c>
      <c r="R340" s="20">
        <f>VLOOKUP(B:B,'[3]תקבולים 2017'!B:T,17,0)</f>
        <v>0</v>
      </c>
      <c r="S340" s="20">
        <f t="shared" si="79"/>
        <v>0</v>
      </c>
      <c r="T340" s="164">
        <f>VLOOKUP(B340,'תקבולים 2017'!$A$2:$Q$248,17,0)</f>
        <v>0</v>
      </c>
      <c r="U340" s="21">
        <v>0</v>
      </c>
    </row>
    <row r="341" spans="2:23" ht="15">
      <c r="B341" s="18">
        <v>1413200410</v>
      </c>
      <c r="C341" s="19" t="str">
        <f t="shared" si="77"/>
        <v>410</v>
      </c>
      <c r="D341" s="19" t="str">
        <f t="shared" si="78"/>
        <v>413200</v>
      </c>
      <c r="E341" s="19" t="s">
        <v>339</v>
      </c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>
        <f>VLOOKUP(B:B,'[3]תקבולים 2017'!B:R,15,0)</f>
        <v>15000</v>
      </c>
      <c r="Q341" s="20">
        <f>-VLOOKUP(B:B,'[3]דוח כספי 10.17 מעודכן'!A:D,4,0)</f>
        <v>6549.21</v>
      </c>
      <c r="R341" s="20">
        <f>VLOOKUP(B:B,'[3]תקבולים 2017'!B:T,17,0)</f>
        <v>8000</v>
      </c>
      <c r="S341" s="20">
        <f t="shared" si="79"/>
        <v>7859.0520000000006</v>
      </c>
      <c r="T341" s="164">
        <f>VLOOKUP(B341,'תקבולים 2017'!$A$2:$Q$248,17,0)</f>
        <v>8000</v>
      </c>
      <c r="U341" s="21">
        <v>8000</v>
      </c>
    </row>
    <row r="342" spans="2:23" ht="15">
      <c r="B342" s="18">
        <v>1413300210</v>
      </c>
      <c r="C342" s="19" t="str">
        <f t="shared" si="77"/>
        <v>210</v>
      </c>
      <c r="D342" s="19" t="str">
        <f t="shared" si="78"/>
        <v>413300</v>
      </c>
      <c r="E342" s="19" t="s">
        <v>340</v>
      </c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>
        <f>VLOOKUP(B:B,'[3]תקבולים 2017'!B:R,15,0)</f>
        <v>12000</v>
      </c>
      <c r="Q342" s="20">
        <f>-VLOOKUP(B:B,'[3]דוח כספי 10.17 מעודכן'!A:D,4,0)</f>
        <v>86042.47</v>
      </c>
      <c r="R342" s="20">
        <f>VLOOKUP(B:B,'[3]תקבולים 2017'!B:T,17,0)</f>
        <v>101000</v>
      </c>
      <c r="S342" s="20">
        <f t="shared" si="79"/>
        <v>103250.96399999999</v>
      </c>
      <c r="T342" s="164">
        <f>VLOOKUP(B342,'תקבולים 2017'!$A$2:$Q$248,17,0)</f>
        <v>101000</v>
      </c>
      <c r="U342" s="21">
        <v>102000</v>
      </c>
    </row>
    <row r="343" spans="2:23" ht="15">
      <c r="B343" s="32"/>
      <c r="C343" s="33"/>
      <c r="D343" s="33"/>
      <c r="E343" s="33" t="s">
        <v>341</v>
      </c>
      <c r="F343" s="34" t="e">
        <f>SUM(#REF!)</f>
        <v>#REF!</v>
      </c>
      <c r="G343" s="34" t="e">
        <f>SUM(#REF!)</f>
        <v>#REF!</v>
      </c>
      <c r="H343" s="34" t="e">
        <f>SUM(#REF!)</f>
        <v>#REF!</v>
      </c>
      <c r="I343" s="34" t="e">
        <f>SUM(#REF!)</f>
        <v>#REF!</v>
      </c>
      <c r="J343" s="34" t="e">
        <f>SUM(#REF!)</f>
        <v>#REF!</v>
      </c>
      <c r="K343" s="34" t="e">
        <f>SUM(#REF!)</f>
        <v>#REF!</v>
      </c>
      <c r="L343" s="34" t="e">
        <f>SUM(#REF!)</f>
        <v>#REF!</v>
      </c>
      <c r="M343" s="34" t="e">
        <f>SUM(#REF!)</f>
        <v>#REF!</v>
      </c>
      <c r="N343" s="34" t="e">
        <f>SUM(#REF!)</f>
        <v>#REF!</v>
      </c>
      <c r="O343" s="34" t="e">
        <f>SUM(#REF!)</f>
        <v>#REF!</v>
      </c>
      <c r="P343" s="34">
        <f t="shared" ref="P343:S343" si="80">SUM(P328:P342)</f>
        <v>4488000</v>
      </c>
      <c r="Q343" s="34">
        <f t="shared" si="80"/>
        <v>3360031.73</v>
      </c>
      <c r="R343" s="34">
        <f t="shared" si="80"/>
        <v>4562500</v>
      </c>
      <c r="S343" s="34">
        <f t="shared" si="80"/>
        <v>4032038.0759999999</v>
      </c>
      <c r="T343" s="35">
        <f>SUM(T328:T342)</f>
        <v>4562500</v>
      </c>
      <c r="U343" s="35">
        <f>SUM(U328:U342)</f>
        <v>4510000</v>
      </c>
    </row>
    <row r="344" spans="2:23" ht="15">
      <c r="B344" s="36"/>
      <c r="C344" s="37" t="s">
        <v>342</v>
      </c>
      <c r="D344" s="37"/>
      <c r="E344" s="37"/>
      <c r="F344" s="37"/>
      <c r="G344" s="37"/>
      <c r="H344" s="37"/>
      <c r="I344" s="38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164"/>
      <c r="U344" s="21"/>
    </row>
    <row r="345" spans="2:23" ht="15">
      <c r="B345" s="18">
        <v>1513000510</v>
      </c>
      <c r="C345" s="19" t="str">
        <f>MID(B345,8,3)</f>
        <v>510</v>
      </c>
      <c r="D345" s="19" t="str">
        <f>MID(B345,2,6)</f>
        <v>513000</v>
      </c>
      <c r="E345" s="19" t="s">
        <v>343</v>
      </c>
      <c r="F345" s="20">
        <v>20000</v>
      </c>
      <c r="G345" s="20">
        <v>15254.33</v>
      </c>
      <c r="H345" s="20">
        <f>G345*12/10</f>
        <v>18305.196</v>
      </c>
      <c r="I345" s="20">
        <f>H345</f>
        <v>18305.196</v>
      </c>
      <c r="J345" s="20" t="e">
        <f>VLOOKUP(B345,#REF!,6,0)</f>
        <v>#REF!</v>
      </c>
      <c r="K345" s="20" t="e">
        <f>+J345*1.71428571428571</f>
        <v>#REF!</v>
      </c>
      <c r="L345" s="20">
        <v>32000</v>
      </c>
      <c r="M345" s="20">
        <v>32000</v>
      </c>
      <c r="N345" s="20">
        <v>0</v>
      </c>
      <c r="O345" s="20" t="e">
        <f>VLOOKUP(B345,[3]כספי!$A$1:$E$324,5,0)</f>
        <v>#N/A</v>
      </c>
      <c r="P345" s="20">
        <f>VLOOKUP(B:B,'[3]תקבולים 2017'!B:R,15,0)</f>
        <v>0</v>
      </c>
      <c r="Q345" s="20">
        <f>-VLOOKUP(B:B,'[3]דוח כספי 10.17 מעודכן'!A:D,4,0)</f>
        <v>0</v>
      </c>
      <c r="R345" s="20">
        <f>VLOOKUP(B:B,'[3]תקבולים 2017'!B:T,17,0)</f>
        <v>0</v>
      </c>
      <c r="S345" s="20">
        <f>Q345/10*12</f>
        <v>0</v>
      </c>
      <c r="T345" s="164">
        <f>VLOOKUP(B345,'תקבולים 2017'!$A$2:$Q$248,17,0)</f>
        <v>0</v>
      </c>
      <c r="U345" s="21">
        <v>0</v>
      </c>
    </row>
    <row r="346" spans="2:23" ht="15">
      <c r="B346" s="18">
        <v>1550000591</v>
      </c>
      <c r="C346" s="19" t="str">
        <f>MID(B346,8,3)</f>
        <v>591</v>
      </c>
      <c r="D346" s="19" t="str">
        <f>MID(B346,2,6)</f>
        <v>550000</v>
      </c>
      <c r="E346" s="19" t="s">
        <v>344</v>
      </c>
      <c r="F346" s="20"/>
      <c r="G346" s="20">
        <v>44646</v>
      </c>
      <c r="H346" s="20">
        <v>55000</v>
      </c>
      <c r="I346" s="20">
        <v>70000</v>
      </c>
      <c r="J346" s="20" t="e">
        <f>VLOOKUP(B346,#REF!,6,0)</f>
        <v>#REF!</v>
      </c>
      <c r="K346" s="20">
        <v>89292</v>
      </c>
      <c r="L346" s="20">
        <v>89292</v>
      </c>
      <c r="M346" s="20">
        <v>89000</v>
      </c>
      <c r="N346" s="20">
        <v>89000</v>
      </c>
      <c r="O346" s="20" t="e">
        <f>VLOOKUP(B346,[3]כספי!$A$1:$E$324,5,0)</f>
        <v>#N/A</v>
      </c>
      <c r="P346" s="20">
        <f>VLOOKUP(B:B,'[3]תקבולים 2017'!B:R,15,0)</f>
        <v>0</v>
      </c>
      <c r="Q346" s="20">
        <f>-VLOOKUP(B:B,'[3]דוח כספי 10.17 מעודכן'!A:D,4,0)</f>
        <v>0</v>
      </c>
      <c r="R346" s="20">
        <f>VLOOKUP(B:B,'[3]תקבולים 2017'!B:T,17,0)</f>
        <v>0</v>
      </c>
      <c r="S346" s="20">
        <f>Q346/10*12</f>
        <v>0</v>
      </c>
      <c r="T346" s="164">
        <f>VLOOKUP(B346,'תקבולים 2017'!$A$2:$Q$248,17,0)</f>
        <v>0</v>
      </c>
      <c r="U346" s="21">
        <v>0</v>
      </c>
    </row>
    <row r="347" spans="2:23" ht="15">
      <c r="B347" s="18">
        <v>1552000910</v>
      </c>
      <c r="C347" s="19" t="str">
        <f>MID(B347,8,3)</f>
        <v>910</v>
      </c>
      <c r="D347" s="19" t="str">
        <f>MID(B347,2,6)</f>
        <v>552000</v>
      </c>
      <c r="E347" s="19" t="s">
        <v>345</v>
      </c>
      <c r="F347" s="20">
        <v>180000</v>
      </c>
      <c r="G347" s="20">
        <v>57799.19</v>
      </c>
      <c r="H347" s="20">
        <v>250000</v>
      </c>
      <c r="I347" s="20">
        <v>250000</v>
      </c>
      <c r="J347" s="20" t="e">
        <f>VLOOKUP(B347,#REF!,6,0)</f>
        <v>#REF!</v>
      </c>
      <c r="K347" s="20" t="e">
        <f>+J347*1.71428571428571</f>
        <v>#REF!</v>
      </c>
      <c r="L347" s="20">
        <v>100000</v>
      </c>
      <c r="M347" s="20">
        <v>80000</v>
      </c>
      <c r="N347" s="20">
        <v>240000</v>
      </c>
      <c r="O347" s="20" t="e">
        <f>VLOOKUP(B347,[3]כספי!$A$1:$E$324,5,0)</f>
        <v>#N/A</v>
      </c>
      <c r="P347" s="20">
        <f>VLOOKUP(B:B,'[3]תקבולים 2017'!B:R,15,0)</f>
        <v>0</v>
      </c>
      <c r="Q347" s="20">
        <f>-VLOOKUP(B:B,'[3]דוח כספי 10.17 מעודכן'!A:D,4,0)</f>
        <v>0</v>
      </c>
      <c r="R347" s="20">
        <f>VLOOKUP(B:B,'[3]תקבולים 2017'!B:T,17,0)</f>
        <v>0</v>
      </c>
      <c r="S347" s="20">
        <f>Q347/10*12</f>
        <v>0</v>
      </c>
      <c r="T347" s="164">
        <f>VLOOKUP(B347,'תקבולים 2017'!$A$2:$Q$248,17,0)</f>
        <v>0</v>
      </c>
      <c r="U347" s="21">
        <v>0</v>
      </c>
    </row>
    <row r="348" spans="2:23" ht="15">
      <c r="B348" s="32"/>
      <c r="C348" s="33"/>
      <c r="D348" s="33"/>
      <c r="E348" s="33" t="s">
        <v>342</v>
      </c>
      <c r="F348" s="34">
        <f t="shared" ref="F348:R348" si="81">SUM(F345:F347)</f>
        <v>200000</v>
      </c>
      <c r="G348" s="34">
        <f t="shared" si="81"/>
        <v>117699.52</v>
      </c>
      <c r="H348" s="34">
        <f t="shared" si="81"/>
        <v>323305.196</v>
      </c>
      <c r="I348" s="34">
        <f t="shared" si="81"/>
        <v>338305.196</v>
      </c>
      <c r="J348" s="34" t="e">
        <f t="shared" si="81"/>
        <v>#REF!</v>
      </c>
      <c r="K348" s="34" t="e">
        <f t="shared" si="81"/>
        <v>#REF!</v>
      </c>
      <c r="L348" s="34">
        <f t="shared" si="81"/>
        <v>221292</v>
      </c>
      <c r="M348" s="34">
        <f t="shared" si="81"/>
        <v>201000</v>
      </c>
      <c r="N348" s="34">
        <f t="shared" si="81"/>
        <v>329000</v>
      </c>
      <c r="O348" s="34" t="e">
        <f t="shared" si="81"/>
        <v>#N/A</v>
      </c>
      <c r="P348" s="34">
        <f t="shared" si="81"/>
        <v>0</v>
      </c>
      <c r="Q348" s="34">
        <f t="shared" si="81"/>
        <v>0</v>
      </c>
      <c r="R348" s="34">
        <f t="shared" si="81"/>
        <v>0</v>
      </c>
      <c r="S348" s="34">
        <f>SUM(S345:S347)</f>
        <v>0</v>
      </c>
      <c r="T348" s="35">
        <f>SUM(T345:T347)</f>
        <v>0</v>
      </c>
      <c r="U348" s="35">
        <f>SUM(U345:U347)</f>
        <v>0</v>
      </c>
    </row>
    <row r="349" spans="2:23" ht="15.75" thickBot="1">
      <c r="B349" s="73"/>
      <c r="C349" s="74"/>
      <c r="D349" s="74"/>
      <c r="E349" s="75" t="s">
        <v>346</v>
      </c>
      <c r="F349" s="76" t="e">
        <f>F348+#REF!+F343+#REF!+F326+F248+F245+F230+F60+F46</f>
        <v>#REF!</v>
      </c>
      <c r="G349" s="76" t="e">
        <f>G348+#REF!+G343+#REF!+G326+G248+G245+G230+G60+G46</f>
        <v>#REF!</v>
      </c>
      <c r="H349" s="76" t="e">
        <f>H348+#REF!+H343+#REF!+H326+H248+H245+H230+H60+H46</f>
        <v>#REF!</v>
      </c>
      <c r="I349" s="76" t="e">
        <f>I348+#REF!+I343+#REF!+I326+I248+I245+I230+I60+I46</f>
        <v>#REF!</v>
      </c>
      <c r="J349" s="76" t="e">
        <f>J348+#REF!+J343+#REF!+J326+J248+J245+J230+J60+J46</f>
        <v>#REF!</v>
      </c>
      <c r="K349" s="76" t="e">
        <f>K348+#REF!+K343+#REF!+K326+K248+K245+K230+K60+K46</f>
        <v>#REF!</v>
      </c>
      <c r="L349" s="76" t="e">
        <f>L348+#REF!+L343+#REF!+L326+L248+L245+L230+L60+L46</f>
        <v>#REF!</v>
      </c>
      <c r="M349" s="76" t="e">
        <f>M348+#REF!+M343+#REF!+M326+M248+M245+M230+M60+M46</f>
        <v>#REF!</v>
      </c>
      <c r="N349" s="76" t="e">
        <f>N348+#REF!+N343+#REF!+N326+N248+N245+N230+N60+N46</f>
        <v>#REF!</v>
      </c>
      <c r="O349" s="76" t="e">
        <f>O348+#REF!+O343+#REF!+O326+O248+O245+O230+O60+O46</f>
        <v>#N/A</v>
      </c>
      <c r="P349" s="76">
        <f t="shared" ref="P349:U349" si="82">P348+P343+P326+P248+P245+P230+P60+P46+P35</f>
        <v>62584000</v>
      </c>
      <c r="Q349" s="76">
        <f t="shared" si="82"/>
        <v>54645205.549999997</v>
      </c>
      <c r="R349" s="76">
        <f t="shared" si="82"/>
        <v>71086500</v>
      </c>
      <c r="S349" s="76">
        <f t="shared" si="82"/>
        <v>65629810.772</v>
      </c>
      <c r="T349" s="77">
        <f t="shared" si="82"/>
        <v>71088499.752000004</v>
      </c>
      <c r="U349" s="77">
        <f t="shared" si="82"/>
        <v>71862000</v>
      </c>
    </row>
    <row r="352" spans="2:23" ht="63">
      <c r="B352" s="7" t="s">
        <v>1</v>
      </c>
      <c r="C352" s="8" t="s">
        <v>2</v>
      </c>
      <c r="D352" s="8" t="s">
        <v>3</v>
      </c>
      <c r="E352" s="8" t="s">
        <v>4</v>
      </c>
      <c r="F352" s="8" t="s">
        <v>5</v>
      </c>
      <c r="G352" s="8" t="s">
        <v>6</v>
      </c>
      <c r="H352" s="9" t="s">
        <v>7</v>
      </c>
      <c r="I352" s="8" t="s">
        <v>8</v>
      </c>
      <c r="J352" s="8" t="s">
        <v>9</v>
      </c>
      <c r="K352" s="8" t="s">
        <v>10</v>
      </c>
      <c r="L352" s="8" t="s">
        <v>11</v>
      </c>
      <c r="M352" s="8" t="s">
        <v>12</v>
      </c>
      <c r="N352" s="8" t="s">
        <v>13</v>
      </c>
      <c r="O352" s="9" t="s">
        <v>14</v>
      </c>
      <c r="P352" s="9" t="s">
        <v>15</v>
      </c>
      <c r="Q352" s="9" t="s">
        <v>16</v>
      </c>
      <c r="R352" s="9" t="s">
        <v>17</v>
      </c>
      <c r="S352" s="9" t="s">
        <v>18</v>
      </c>
      <c r="T352" s="163" t="s">
        <v>17</v>
      </c>
      <c r="U352" s="9" t="s">
        <v>19</v>
      </c>
      <c r="V352" s="84" t="s">
        <v>347</v>
      </c>
      <c r="W352" s="84" t="s">
        <v>348</v>
      </c>
    </row>
    <row r="353" spans="2:23" ht="15">
      <c r="B353" s="86"/>
      <c r="C353" s="87" t="s">
        <v>349</v>
      </c>
      <c r="D353" s="87"/>
      <c r="E353" s="87"/>
      <c r="F353" s="87"/>
      <c r="G353" s="87"/>
      <c r="H353" s="87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9"/>
      <c r="W353" s="89"/>
    </row>
    <row r="354" spans="2:23" ht="15">
      <c r="B354" s="92">
        <v>1611100110</v>
      </c>
      <c r="C354" s="93" t="str">
        <f>MID(B354,8,3)</f>
        <v>110</v>
      </c>
      <c r="D354" s="93" t="str">
        <f>MID(B354,2,6)</f>
        <v>611100</v>
      </c>
      <c r="E354" s="93" t="s">
        <v>350</v>
      </c>
      <c r="F354" s="94">
        <v>748160</v>
      </c>
      <c r="G354" s="94">
        <v>617437.53</v>
      </c>
      <c r="H354" s="94">
        <f>G354*12/10</f>
        <v>740925.03600000008</v>
      </c>
      <c r="I354" s="94">
        <v>755642</v>
      </c>
      <c r="J354" s="95" t="e">
        <f>VLOOKUP(B354,#REF!,6,0)</f>
        <v>#REF!</v>
      </c>
      <c r="K354" s="95" t="e">
        <f>+J354*1.71428571428571</f>
        <v>#REF!</v>
      </c>
      <c r="L354" s="95">
        <v>753946</v>
      </c>
      <c r="M354" s="95">
        <v>752700</v>
      </c>
      <c r="N354" s="95">
        <v>755000</v>
      </c>
      <c r="O354" s="95">
        <f>VLOOKUP(B354,[3]כספי!$A$1:$E$324,5,0)</f>
        <v>487900.45</v>
      </c>
      <c r="P354" s="95">
        <f>VLOOKUP(B:B,'[3]תשלומים 2017'!B:R,15,0)</f>
        <v>1172000</v>
      </c>
      <c r="Q354" s="95">
        <f>VLOOKUP(B:B,'[3]דוח כספי 10.17 מעודכן'!A:D,4,0)</f>
        <v>1020928.08</v>
      </c>
      <c r="R354" s="95">
        <f>VLOOKUP(B:B,'[3]תשלומים 2017'!B:T,17,0)</f>
        <v>1360000</v>
      </c>
      <c r="S354" s="95">
        <f>Q354/9*12</f>
        <v>1361237.44</v>
      </c>
      <c r="T354" s="95">
        <f>VLOOKUP('פירוט תקציב 2017 ו 2018'!B354,'תשלומים 2017'!$A$2:$Q$391,17,0)</f>
        <v>1360000</v>
      </c>
      <c r="U354" s="95">
        <v>1369000</v>
      </c>
      <c r="V354" s="96">
        <v>2</v>
      </c>
      <c r="W354" s="96">
        <v>2</v>
      </c>
    </row>
    <row r="355" spans="2:23" ht="15">
      <c r="B355" s="100">
        <v>1611000310</v>
      </c>
      <c r="C355" s="101" t="str">
        <f t="shared" ref="C355:C368" si="83">MID(B355,8,3)</f>
        <v>310</v>
      </c>
      <c r="D355" s="101" t="str">
        <f t="shared" ref="D355:D368" si="84">MID(B355,2,6)</f>
        <v>611000</v>
      </c>
      <c r="E355" s="102" t="s">
        <v>351</v>
      </c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>
        <f>VLOOKUP(B:B,'[3]תשלומים 2017'!B:R,15,0)</f>
        <v>0</v>
      </c>
      <c r="Q355" s="103">
        <f>VLOOKUP(B:B,'[3]דוח כספי 10.17 מעודכן'!A:D,4,0)</f>
        <v>187473.55</v>
      </c>
      <c r="R355" s="103">
        <f>VLOOKUP(B:B,'[3]תשלומים 2017'!B:T,17,0)</f>
        <v>0</v>
      </c>
      <c r="S355" s="103">
        <v>0</v>
      </c>
      <c r="T355" s="95">
        <f>VLOOKUP('פירוט תקציב 2017 ו 2018'!B355,'תשלומים 2017'!$A$2:$Q$391,17,0)</f>
        <v>0</v>
      </c>
      <c r="U355" s="103">
        <v>0</v>
      </c>
      <c r="V355" s="104"/>
      <c r="W355" s="104"/>
    </row>
    <row r="356" spans="2:23" ht="15">
      <c r="B356" s="100">
        <v>1611100310</v>
      </c>
      <c r="C356" s="101" t="str">
        <f t="shared" si="83"/>
        <v>310</v>
      </c>
      <c r="D356" s="101" t="str">
        <f t="shared" si="84"/>
        <v>611100</v>
      </c>
      <c r="E356" s="102" t="s">
        <v>353</v>
      </c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>
        <f>VLOOKUP(B:B,'[3]תשלומים 2017'!B:R,15,0)</f>
        <v>750000</v>
      </c>
      <c r="Q356" s="103">
        <f>VLOOKUP(B:B,'[3]דוח כספי 10.17 מעודכן'!A:D,4,0)</f>
        <v>312465.09999999998</v>
      </c>
      <c r="R356" s="103">
        <f>VLOOKUP(B:B,'[3]תשלומים 2017'!B:T,17,0)</f>
        <v>700000</v>
      </c>
      <c r="S356" s="103">
        <f>Q356/9*12</f>
        <v>416620.1333333333</v>
      </c>
      <c r="T356" s="95">
        <f>VLOOKUP('פירוט תקציב 2017 ו 2018'!B356,'תשלומים 2017'!$A$2:$Q$391,17,0)</f>
        <v>700000</v>
      </c>
      <c r="U356" s="103">
        <v>0</v>
      </c>
      <c r="V356" s="104"/>
      <c r="W356" s="104"/>
    </row>
    <row r="357" spans="2:23" ht="15">
      <c r="B357" s="92">
        <v>1611100440</v>
      </c>
      <c r="C357" s="109" t="str">
        <f t="shared" si="83"/>
        <v>440</v>
      </c>
      <c r="D357" s="109" t="str">
        <f t="shared" si="84"/>
        <v>611100</v>
      </c>
      <c r="E357" s="93" t="s">
        <v>354</v>
      </c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>
        <f>VLOOKUP(B:B,'[3]תשלומים 2017'!B:R,15,0)</f>
        <v>19000</v>
      </c>
      <c r="Q357" s="95">
        <f>VLOOKUP(B:B,'[3]דוח כספי 10.17 מעודכן'!A:D,4,0)</f>
        <v>0</v>
      </c>
      <c r="R357" s="95">
        <f>VLOOKUP(B:B,'[3]תשלומים 2017'!B:T,17,0)</f>
        <v>0</v>
      </c>
      <c r="S357" s="95">
        <v>0</v>
      </c>
      <c r="T357" s="95">
        <f>VLOOKUP('פירוט תקציב 2017 ו 2018'!B357,'תשלומים 2017'!$A$2:$Q$391,17,0)</f>
        <v>0</v>
      </c>
      <c r="U357" s="95">
        <v>0</v>
      </c>
      <c r="V357" s="110"/>
      <c r="W357" s="110"/>
    </row>
    <row r="358" spans="2:23" ht="15">
      <c r="B358" s="92">
        <v>1611100510</v>
      </c>
      <c r="C358" s="109" t="str">
        <f t="shared" si="83"/>
        <v>510</v>
      </c>
      <c r="D358" s="109" t="str">
        <f t="shared" si="84"/>
        <v>611100</v>
      </c>
      <c r="E358" s="93" t="s">
        <v>355</v>
      </c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>
        <f>VLOOKUP(B:B,'[3]תשלומים 2017'!B:R,15,0)</f>
        <v>4000</v>
      </c>
      <c r="Q358" s="95">
        <f>VLOOKUP(B:B,'[3]דוח כספי 10.17 מעודכן'!A:D,4,0)</f>
        <v>0</v>
      </c>
      <c r="R358" s="95">
        <f>VLOOKUP(B:B,'[3]תשלומים 2017'!B:T,17,0)</f>
        <v>4000</v>
      </c>
      <c r="S358" s="95">
        <f>Q358/10*12</f>
        <v>0</v>
      </c>
      <c r="T358" s="95">
        <f>VLOOKUP('פירוט תקציב 2017 ו 2018'!B358,'תשלומים 2017'!$A$2:$Q$391,17,0)</f>
        <v>4000</v>
      </c>
      <c r="U358" s="95">
        <v>4000</v>
      </c>
      <c r="V358" s="110"/>
      <c r="W358" s="110"/>
    </row>
    <row r="359" spans="2:23" ht="15">
      <c r="B359" s="92">
        <v>1611100514</v>
      </c>
      <c r="C359" s="109" t="str">
        <f t="shared" si="83"/>
        <v>514</v>
      </c>
      <c r="D359" s="109" t="str">
        <f t="shared" si="84"/>
        <v>611100</v>
      </c>
      <c r="E359" s="93" t="s">
        <v>356</v>
      </c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>
        <f>VLOOKUP(B:B,'[3]תשלומים 2017'!B:R,15,0)</f>
        <v>16000</v>
      </c>
      <c r="Q359" s="95">
        <f>VLOOKUP(B:B,'[3]דוח כספי 10.17 מעודכן'!A:D,4,0)</f>
        <v>0</v>
      </c>
      <c r="R359" s="95">
        <f>VLOOKUP(B:B,'[3]תשלומים 2017'!B:T,17,0)</f>
        <v>16000</v>
      </c>
      <c r="S359" s="95">
        <f t="shared" ref="S359:S369" si="85">Q359/10*12</f>
        <v>0</v>
      </c>
      <c r="T359" s="95">
        <f>VLOOKUP('פירוט תקציב 2017 ו 2018'!B359,'תשלומים 2017'!$A$2:$Q$391,17,0)</f>
        <v>16000</v>
      </c>
      <c r="U359" s="95">
        <v>16000</v>
      </c>
      <c r="V359" s="110"/>
      <c r="W359" s="110"/>
    </row>
    <row r="360" spans="2:23" ht="15">
      <c r="B360" s="92">
        <v>1611100521</v>
      </c>
      <c r="C360" s="109" t="str">
        <f t="shared" si="83"/>
        <v>521</v>
      </c>
      <c r="D360" s="109" t="str">
        <f t="shared" si="84"/>
        <v>611100</v>
      </c>
      <c r="E360" s="93" t="s">
        <v>357</v>
      </c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>
        <f>VLOOKUP(B:B,'[3]תשלומים 2017'!B:R,15,0)</f>
        <v>0</v>
      </c>
      <c r="Q360" s="95">
        <f>VLOOKUP(B:B,'[3]דוח כספי 10.17 מעודכן'!A:D,4,0)</f>
        <v>2000</v>
      </c>
      <c r="R360" s="95">
        <f>VLOOKUP(B:B,'[3]תשלומים 2017'!B:T,17,0)</f>
        <v>3000</v>
      </c>
      <c r="S360" s="95">
        <f t="shared" si="85"/>
        <v>2400</v>
      </c>
      <c r="T360" s="95">
        <f>VLOOKUP('פירוט תקציב 2017 ו 2018'!B360,'תשלומים 2017'!$A$2:$Q$391,17,0)</f>
        <v>3000</v>
      </c>
      <c r="U360" s="95">
        <v>2500</v>
      </c>
      <c r="V360" s="110"/>
      <c r="W360" s="110"/>
    </row>
    <row r="361" spans="2:23" ht="15">
      <c r="B361" s="100">
        <v>1611100525</v>
      </c>
      <c r="C361" s="101" t="str">
        <f t="shared" si="83"/>
        <v>525</v>
      </c>
      <c r="D361" s="101" t="str">
        <f t="shared" si="84"/>
        <v>611100</v>
      </c>
      <c r="E361" s="102" t="s">
        <v>358</v>
      </c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>
        <f>VLOOKUP(B:B,'[3]תשלומים 2017'!B:R,15,0)</f>
        <v>0</v>
      </c>
      <c r="Q361" s="103">
        <f>VLOOKUP(B:B,'[3]דוח כספי 10.17 מעודכן'!A:D,4,0)</f>
        <v>97670</v>
      </c>
      <c r="R361" s="103">
        <f>VLOOKUP(B:B,'[3]תשלומים 2017'!B:T,17,0)</f>
        <v>98000</v>
      </c>
      <c r="S361" s="103">
        <v>0</v>
      </c>
      <c r="T361" s="95">
        <f>VLOOKUP('פירוט תקציב 2017 ו 2018'!B361,'תשלומים 2017'!$A$2:$Q$391,17,0)</f>
        <v>98000</v>
      </c>
      <c r="U361" s="103">
        <v>0</v>
      </c>
      <c r="V361" s="104"/>
      <c r="W361" s="104"/>
    </row>
    <row r="362" spans="2:23" ht="15">
      <c r="B362" s="92">
        <v>1611100531</v>
      </c>
      <c r="C362" s="109" t="str">
        <f t="shared" si="83"/>
        <v>531</v>
      </c>
      <c r="D362" s="109" t="str">
        <f t="shared" si="84"/>
        <v>611100</v>
      </c>
      <c r="E362" s="93" t="s">
        <v>359</v>
      </c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>
        <f>VLOOKUP(B:B,'[3]תשלומים 2017'!B:R,15,0)</f>
        <v>0</v>
      </c>
      <c r="Q362" s="95">
        <f>VLOOKUP(B:B,'[3]דוח כספי 10.17 מעודכן'!A:D,4,0)</f>
        <v>42395</v>
      </c>
      <c r="R362" s="95">
        <f>VLOOKUP(B:B,'[3]תשלומים 2017'!B:T,17,0)</f>
        <v>52000</v>
      </c>
      <c r="S362" s="95">
        <f t="shared" si="85"/>
        <v>50874</v>
      </c>
      <c r="T362" s="95">
        <f>VLOOKUP('פירוט תקציב 2017 ו 2018'!B362,'תשלומים 2017'!$A$2:$Q$391,17,0)</f>
        <v>52000</v>
      </c>
      <c r="U362" s="95">
        <v>52000</v>
      </c>
      <c r="V362" s="110"/>
      <c r="W362" s="110"/>
    </row>
    <row r="363" spans="2:23" ht="15">
      <c r="B363" s="92">
        <v>1611100540</v>
      </c>
      <c r="C363" s="109" t="str">
        <f t="shared" si="83"/>
        <v>540</v>
      </c>
      <c r="D363" s="109" t="str">
        <f t="shared" si="84"/>
        <v>611100</v>
      </c>
      <c r="E363" s="93" t="s">
        <v>360</v>
      </c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>
        <f>VLOOKUP(B:B,'[3]תשלומים 2017'!B:R,15,0)</f>
        <v>12000</v>
      </c>
      <c r="Q363" s="95">
        <f>VLOOKUP(B:B,'[3]דוח כספי 10.17 מעודכן'!A:D,4,0)</f>
        <v>36994.410000000003</v>
      </c>
      <c r="R363" s="95">
        <f>VLOOKUP(B:B,'[3]תשלומים 2017'!B:T,17,0)</f>
        <v>45000</v>
      </c>
      <c r="S363" s="95">
        <f t="shared" si="85"/>
        <v>44393.292000000001</v>
      </c>
      <c r="T363" s="95">
        <f>VLOOKUP('פירוט תקציב 2017 ו 2018'!B363,'תשלומים 2017'!$A$2:$Q$391,17,0)</f>
        <v>45000</v>
      </c>
      <c r="U363" s="95">
        <v>45000</v>
      </c>
      <c r="V363" s="110"/>
      <c r="W363" s="110"/>
    </row>
    <row r="364" spans="2:23" ht="15">
      <c r="B364" s="92">
        <v>1611100550</v>
      </c>
      <c r="C364" s="109" t="str">
        <f t="shared" si="83"/>
        <v>550</v>
      </c>
      <c r="D364" s="109" t="str">
        <f t="shared" si="84"/>
        <v>611100</v>
      </c>
      <c r="E364" s="93" t="s">
        <v>361</v>
      </c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>
        <f>VLOOKUP(B:B,'[3]תשלומים 2017'!B:R,15,0)</f>
        <v>0</v>
      </c>
      <c r="Q364" s="95">
        <f>VLOOKUP(B:B,'[3]דוח כספי 10.17 מעודכן'!A:D,4,0)</f>
        <v>0</v>
      </c>
      <c r="R364" s="95">
        <f>VLOOKUP(B:B,'[3]תשלומים 2017'!B:T,17,0)</f>
        <v>0</v>
      </c>
      <c r="S364" s="95">
        <f t="shared" si="85"/>
        <v>0</v>
      </c>
      <c r="T364" s="95">
        <f>VLOOKUP('פירוט תקציב 2017 ו 2018'!B364,'תשלומים 2017'!$A$2:$Q$391,17,0)</f>
        <v>0</v>
      </c>
      <c r="U364" s="95">
        <v>0</v>
      </c>
      <c r="V364" s="110"/>
      <c r="W364" s="110"/>
    </row>
    <row r="365" spans="2:23" ht="15">
      <c r="B365" s="92">
        <v>1611100810</v>
      </c>
      <c r="C365" s="109" t="str">
        <f t="shared" si="83"/>
        <v>810</v>
      </c>
      <c r="D365" s="109" t="str">
        <f t="shared" si="84"/>
        <v>611100</v>
      </c>
      <c r="E365" s="93" t="s">
        <v>362</v>
      </c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>
        <f>VLOOKUP(B:B,'[3]תשלומים 2017'!B:R,15,0)</f>
        <v>0</v>
      </c>
      <c r="Q365" s="95">
        <f>VLOOKUP(B:B,'[3]דוח כספי 10.17 מעודכן'!A:D,4,0)</f>
        <v>0</v>
      </c>
      <c r="R365" s="95">
        <f>VLOOKUP(B:B,'[3]תשלומים 2017'!B:T,17,0)</f>
        <v>0</v>
      </c>
      <c r="S365" s="95">
        <f t="shared" si="85"/>
        <v>0</v>
      </c>
      <c r="T365" s="95">
        <f>VLOOKUP('פירוט תקציב 2017 ו 2018'!B365,'תשלומים 2017'!$A$2:$Q$391,17,0)</f>
        <v>0</v>
      </c>
      <c r="U365" s="95">
        <v>0</v>
      </c>
      <c r="V365" s="110"/>
      <c r="W365" s="110"/>
    </row>
    <row r="366" spans="2:23" ht="15">
      <c r="B366" s="92">
        <v>1611100910</v>
      </c>
      <c r="C366" s="109" t="str">
        <f t="shared" si="83"/>
        <v>910</v>
      </c>
      <c r="D366" s="109" t="str">
        <f t="shared" si="84"/>
        <v>611100</v>
      </c>
      <c r="E366" s="93" t="s">
        <v>363</v>
      </c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>
        <f>VLOOKUP(B:B,'[3]תשלומים 2017'!B:R,15,0)</f>
        <v>0</v>
      </c>
      <c r="Q366" s="95">
        <f>VLOOKUP(B:B,'[3]דוח כספי 10.17 מעודכן'!A:D,4,0)</f>
        <v>0</v>
      </c>
      <c r="R366" s="95">
        <f>VLOOKUP(B:B,'[3]תשלומים 2017'!B:T,17,0)</f>
        <v>0</v>
      </c>
      <c r="S366" s="95">
        <f t="shared" si="85"/>
        <v>0</v>
      </c>
      <c r="T366" s="95">
        <f>VLOOKUP('פירוט תקציב 2017 ו 2018'!B366,'תשלומים 2017'!$A$2:$Q$391,17,0)</f>
        <v>0</v>
      </c>
      <c r="U366" s="95">
        <v>0</v>
      </c>
      <c r="V366" s="110"/>
      <c r="W366" s="110"/>
    </row>
    <row r="367" spans="2:23" ht="15">
      <c r="B367" s="92">
        <v>1611120110</v>
      </c>
      <c r="C367" s="93" t="str">
        <f t="shared" si="83"/>
        <v>110</v>
      </c>
      <c r="D367" s="93" t="str">
        <f t="shared" si="84"/>
        <v>611120</v>
      </c>
      <c r="E367" s="93" t="s">
        <v>364</v>
      </c>
      <c r="F367" s="94"/>
      <c r="G367" s="94"/>
      <c r="H367" s="94"/>
      <c r="I367" s="94"/>
      <c r="J367" s="95"/>
      <c r="K367" s="95"/>
      <c r="L367" s="95"/>
      <c r="M367" s="95"/>
      <c r="N367" s="95"/>
      <c r="O367" s="95"/>
      <c r="P367" s="95">
        <f>VLOOKUP(B:B,'[3]תשלומים 2017'!B:R,15,0)</f>
        <v>0</v>
      </c>
      <c r="Q367" s="95">
        <f>VLOOKUP(B:B,'[3]דוח כספי 10.17 מעודכן'!A:D,4,0)</f>
        <v>0</v>
      </c>
      <c r="R367" s="95">
        <f>VLOOKUP(B:B,'[3]תשלומים 2017'!B:T,17,0)</f>
        <v>0</v>
      </c>
      <c r="S367" s="95">
        <f t="shared" si="85"/>
        <v>0</v>
      </c>
      <c r="T367" s="95">
        <f>VLOOKUP('פירוט תקציב 2017 ו 2018'!B367,'תשלומים 2017'!$A$2:$Q$391,17,0)</f>
        <v>0</v>
      </c>
      <c r="U367" s="95">
        <v>0</v>
      </c>
      <c r="V367" s="111"/>
      <c r="W367" s="111"/>
    </row>
    <row r="368" spans="2:23" ht="15">
      <c r="B368" s="92">
        <v>1611130110</v>
      </c>
      <c r="C368" s="93" t="str">
        <f t="shared" si="83"/>
        <v>110</v>
      </c>
      <c r="D368" s="93" t="str">
        <f t="shared" si="84"/>
        <v>611130</v>
      </c>
      <c r="E368" s="93" t="s">
        <v>366</v>
      </c>
      <c r="F368" s="94"/>
      <c r="G368" s="94"/>
      <c r="H368" s="94"/>
      <c r="I368" s="94"/>
      <c r="J368" s="95"/>
      <c r="K368" s="95"/>
      <c r="L368" s="95"/>
      <c r="M368" s="95"/>
      <c r="N368" s="95"/>
      <c r="O368" s="95"/>
      <c r="P368" s="95">
        <f>VLOOKUP(B:B,'[3]תשלומים 2017'!B:R,15,0)</f>
        <v>0</v>
      </c>
      <c r="Q368" s="95">
        <f>VLOOKUP(B:B,'[3]דוח כספי 10.17 מעודכן'!A:D,4,0)</f>
        <v>0</v>
      </c>
      <c r="R368" s="95">
        <f>VLOOKUP(B:B,'[3]תשלומים 2017'!B:T,17,0)</f>
        <v>0</v>
      </c>
      <c r="S368" s="95">
        <f t="shared" si="85"/>
        <v>0</v>
      </c>
      <c r="T368" s="95">
        <f>VLOOKUP('פירוט תקציב 2017 ו 2018'!B368,'תשלומים 2017'!$A$2:$Q$391,17,0)</f>
        <v>0</v>
      </c>
      <c r="U368" s="95">
        <v>0</v>
      </c>
      <c r="V368" s="111"/>
      <c r="W368" s="111"/>
    </row>
    <row r="369" spans="2:23" ht="15">
      <c r="B369" s="92">
        <v>1611200110</v>
      </c>
      <c r="C369" s="93" t="str">
        <f>MID(B369,8,3)</f>
        <v>110</v>
      </c>
      <c r="D369" s="93" t="str">
        <f>MID(B369,2,6)</f>
        <v>611200</v>
      </c>
      <c r="E369" s="93" t="s">
        <v>367</v>
      </c>
      <c r="F369" s="94"/>
      <c r="G369" s="94"/>
      <c r="H369" s="94"/>
      <c r="I369" s="94"/>
      <c r="J369" s="95"/>
      <c r="K369" s="95"/>
      <c r="L369" s="95"/>
      <c r="M369" s="95"/>
      <c r="N369" s="95"/>
      <c r="O369" s="95"/>
      <c r="P369" s="95">
        <f>VLOOKUP(B:B,'[3]תשלומים 2017'!B:R,15,0)</f>
        <v>0</v>
      </c>
      <c r="Q369" s="95">
        <f>VLOOKUP(B:B,'[3]דוח כספי 10.17 מעודכן'!A:D,4,0)</f>
        <v>0</v>
      </c>
      <c r="R369" s="95">
        <f>VLOOKUP(B:B,'[3]תשלומים 2017'!B:T,17,0)</f>
        <v>0</v>
      </c>
      <c r="S369" s="95">
        <f t="shared" si="85"/>
        <v>0</v>
      </c>
      <c r="T369" s="95">
        <f>VLOOKUP('פירוט תקציב 2017 ו 2018'!B369,'תשלומים 2017'!$A$2:$Q$391,17,0)</f>
        <v>0</v>
      </c>
      <c r="U369" s="95">
        <v>0</v>
      </c>
      <c r="V369" s="111"/>
      <c r="W369" s="111"/>
    </row>
    <row r="370" spans="2:23" ht="15">
      <c r="B370" s="28"/>
      <c r="C370" s="29"/>
      <c r="D370" s="29"/>
      <c r="E370" s="29" t="s">
        <v>368</v>
      </c>
      <c r="F370" s="30">
        <f t="shared" ref="F370:R370" si="86">SUM(F354:F369)</f>
        <v>748160</v>
      </c>
      <c r="G370" s="30">
        <f t="shared" si="86"/>
        <v>617437.53</v>
      </c>
      <c r="H370" s="30">
        <f t="shared" si="86"/>
        <v>740925.03600000008</v>
      </c>
      <c r="I370" s="30">
        <f t="shared" si="86"/>
        <v>755642</v>
      </c>
      <c r="J370" s="30" t="e">
        <f t="shared" si="86"/>
        <v>#REF!</v>
      </c>
      <c r="K370" s="30" t="e">
        <f t="shared" si="86"/>
        <v>#REF!</v>
      </c>
      <c r="L370" s="30">
        <f t="shared" si="86"/>
        <v>753946</v>
      </c>
      <c r="M370" s="30">
        <f t="shared" si="86"/>
        <v>752700</v>
      </c>
      <c r="N370" s="30">
        <f t="shared" si="86"/>
        <v>755000</v>
      </c>
      <c r="O370" s="30">
        <f t="shared" si="86"/>
        <v>487900.45</v>
      </c>
      <c r="P370" s="30">
        <f t="shared" si="86"/>
        <v>1973000</v>
      </c>
      <c r="Q370" s="30">
        <f t="shared" si="86"/>
        <v>1699926.14</v>
      </c>
      <c r="R370" s="30">
        <f t="shared" si="86"/>
        <v>2278000</v>
      </c>
      <c r="S370" s="30">
        <f>SUM(S354:S369)</f>
        <v>1875524.8653333331</v>
      </c>
      <c r="T370" s="30">
        <f>SUM(T354:T369)</f>
        <v>2278000</v>
      </c>
      <c r="U370" s="30">
        <f>SUM(U354:U369)</f>
        <v>1488500</v>
      </c>
      <c r="V370" s="112">
        <f>SUM(V354:V369)</f>
        <v>2</v>
      </c>
      <c r="W370" s="112">
        <f>SUM(W354:W369)</f>
        <v>2</v>
      </c>
    </row>
    <row r="371" spans="2:23" ht="15">
      <c r="B371" s="100">
        <v>1612000310</v>
      </c>
      <c r="C371" s="101" t="str">
        <f>MID(B371,8,3)</f>
        <v>310</v>
      </c>
      <c r="D371" s="101" t="str">
        <f>MID(B371,2,6)</f>
        <v>612000</v>
      </c>
      <c r="E371" s="102" t="s">
        <v>369</v>
      </c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>
        <f>VLOOKUP(B:B,'[3]תשלומים 2017'!B:R,15,0)</f>
        <v>688000</v>
      </c>
      <c r="Q371" s="103">
        <f>VLOOKUP(B:B,'[3]דוח כספי 10.17 מעודכן'!A:D,4,0)</f>
        <v>689831.22</v>
      </c>
      <c r="R371" s="103">
        <f>VLOOKUP(B:B,'[3]תשלומים 2017'!B:T,17,0)</f>
        <v>920000</v>
      </c>
      <c r="S371" s="113">
        <f>Q371/9*12</f>
        <v>919774.96</v>
      </c>
      <c r="T371" s="95">
        <f>VLOOKUP('פירוט תקציב 2017 ו 2018'!B371,'תשלומים 2017'!$A$2:$Q$391,17,0)</f>
        <v>920000</v>
      </c>
      <c r="U371" s="103">
        <v>0</v>
      </c>
      <c r="V371" s="104"/>
      <c r="W371" s="104">
        <v>0</v>
      </c>
    </row>
    <row r="372" spans="2:23" ht="15">
      <c r="B372" s="92">
        <v>1612000521</v>
      </c>
      <c r="C372" s="109" t="str">
        <f>MID(B372,8,3)</f>
        <v>521</v>
      </c>
      <c r="D372" s="109" t="str">
        <f>MID(B372,2,6)</f>
        <v>612000</v>
      </c>
      <c r="E372" s="93" t="s">
        <v>370</v>
      </c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>
        <f>VLOOKUP(B:B,'[3]תשלומים 2017'!B:R,15,0)</f>
        <v>9000</v>
      </c>
      <c r="Q372" s="95">
        <f>VLOOKUP(B:B,'[3]דוח כספי 10.17 מעודכן'!A:D,4,0)</f>
        <v>0</v>
      </c>
      <c r="R372" s="95">
        <f>VLOOKUP(B:B,'[3]תשלומים 2017'!B:T,17,0)</f>
        <v>0</v>
      </c>
      <c r="S372" s="95">
        <f>Q372/9*12</f>
        <v>0</v>
      </c>
      <c r="T372" s="95">
        <f>VLOOKUP('פירוט תקציב 2017 ו 2018'!B372,'תשלומים 2017'!$A$2:$Q$391,17,0)</f>
        <v>0</v>
      </c>
      <c r="U372" s="95">
        <v>0</v>
      </c>
      <c r="V372" s="110"/>
      <c r="W372" s="110"/>
    </row>
    <row r="373" spans="2:23" ht="15">
      <c r="B373" s="92">
        <v>1612100110</v>
      </c>
      <c r="C373" s="93" t="str">
        <f>MID(B373,8,3)</f>
        <v>110</v>
      </c>
      <c r="D373" s="93" t="str">
        <f>MID(B373,2,6)</f>
        <v>612100</v>
      </c>
      <c r="E373" s="93" t="s">
        <v>371</v>
      </c>
      <c r="F373" s="94"/>
      <c r="G373" s="94"/>
      <c r="H373" s="94"/>
      <c r="I373" s="94"/>
      <c r="J373" s="95"/>
      <c r="K373" s="95"/>
      <c r="L373" s="95"/>
      <c r="M373" s="95"/>
      <c r="N373" s="95"/>
      <c r="O373" s="95"/>
      <c r="P373" s="95">
        <f>VLOOKUP(B:B,'[3]תשלומים 2017'!B:R,15,0)</f>
        <v>247000</v>
      </c>
      <c r="Q373" s="95">
        <f>VLOOKUP(B:B,'[3]דוח כספי 10.17 מעודכן'!A:D,4,0)</f>
        <v>163358.16</v>
      </c>
      <c r="R373" s="95">
        <f>VLOOKUP(B:B,'[3]תשלומים 2017'!B:T,17,0)</f>
        <v>218000</v>
      </c>
      <c r="S373" s="95">
        <f>Q373/9*12</f>
        <v>217810.88</v>
      </c>
      <c r="T373" s="95">
        <f>VLOOKUP('פירוט תקציב 2017 ו 2018'!B373,'תשלומים 2017'!$A$2:$Q$391,17,0)</f>
        <v>218000</v>
      </c>
      <c r="U373" s="95">
        <v>218000</v>
      </c>
      <c r="V373" s="111">
        <v>0.5</v>
      </c>
      <c r="W373" s="111">
        <v>0.5</v>
      </c>
    </row>
    <row r="374" spans="2:23" ht="15">
      <c r="B374" s="92">
        <v>1612200110</v>
      </c>
      <c r="C374" s="93" t="str">
        <f>MID(B374,8,3)</f>
        <v>110</v>
      </c>
      <c r="D374" s="93" t="str">
        <f>MID(B374,2,6)</f>
        <v>612200</v>
      </c>
      <c r="E374" s="93" t="s">
        <v>372</v>
      </c>
      <c r="F374" s="94"/>
      <c r="G374" s="94"/>
      <c r="H374" s="94"/>
      <c r="I374" s="94"/>
      <c r="J374" s="95"/>
      <c r="K374" s="95"/>
      <c r="L374" s="95"/>
      <c r="M374" s="95"/>
      <c r="N374" s="95"/>
      <c r="O374" s="95"/>
      <c r="P374" s="95">
        <f>VLOOKUP(B:B,'[3]תשלומים 2017'!B:R,15,0)</f>
        <v>0</v>
      </c>
      <c r="Q374" s="95">
        <f>VLOOKUP(B:B,'[3]דוח כספי 10.17 מעודכן'!A:D,4,0)</f>
        <v>0</v>
      </c>
      <c r="R374" s="95">
        <f>VLOOKUP(B:B,'[3]תשלומים 2017'!B:T,17,0)</f>
        <v>0</v>
      </c>
      <c r="S374" s="95">
        <f>Q374/9*12</f>
        <v>0</v>
      </c>
      <c r="T374" s="95">
        <f>VLOOKUP('פירוט תקציב 2017 ו 2018'!B374,'תשלומים 2017'!$A$2:$Q$391,17,0)</f>
        <v>0</v>
      </c>
      <c r="U374" s="95">
        <v>0</v>
      </c>
      <c r="V374" s="111"/>
      <c r="W374" s="111">
        <v>0</v>
      </c>
    </row>
    <row r="375" spans="2:23" ht="15">
      <c r="B375" s="28"/>
      <c r="C375" s="29"/>
      <c r="D375" s="29"/>
      <c r="E375" s="29" t="s">
        <v>374</v>
      </c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>
        <f>SUM(P371:P374)</f>
        <v>944000</v>
      </c>
      <c r="Q375" s="30">
        <f t="shared" ref="Q375:U375" si="87">SUM(Q371:Q374)</f>
        <v>853189.38</v>
      </c>
      <c r="R375" s="30">
        <f t="shared" si="87"/>
        <v>1138000</v>
      </c>
      <c r="S375" s="30">
        <f t="shared" si="87"/>
        <v>1137585.8399999999</v>
      </c>
      <c r="T375" s="30">
        <f t="shared" si="87"/>
        <v>1138000</v>
      </c>
      <c r="U375" s="30">
        <f t="shared" si="87"/>
        <v>218000</v>
      </c>
      <c r="V375" s="112">
        <f>SUM(V373:V374)</f>
        <v>0.5</v>
      </c>
      <c r="W375" s="112">
        <f>SUM(W373:W374)</f>
        <v>0.5</v>
      </c>
    </row>
    <row r="376" spans="2:23" ht="15">
      <c r="B376" s="92">
        <v>1613000110</v>
      </c>
      <c r="C376" s="93" t="str">
        <f t="shared" ref="C376:C425" si="88">MID(B376,8,3)</f>
        <v>110</v>
      </c>
      <c r="D376" s="93" t="str">
        <f t="shared" ref="D376:D393" si="89">MID(B376,2,6)</f>
        <v>613000</v>
      </c>
      <c r="E376" s="93" t="s">
        <v>375</v>
      </c>
      <c r="F376" s="94"/>
      <c r="G376" s="94"/>
      <c r="H376" s="94"/>
      <c r="I376" s="94"/>
      <c r="J376" s="95"/>
      <c r="K376" s="95"/>
      <c r="L376" s="95"/>
      <c r="M376" s="95"/>
      <c r="N376" s="95"/>
      <c r="O376" s="95"/>
      <c r="P376" s="95">
        <f>VLOOKUP(B:B,'[3]תשלומים 2017'!B:R,15,0)</f>
        <v>399000</v>
      </c>
      <c r="Q376" s="95">
        <f>VLOOKUP(B:B,'[3]דוח כספי 10.17 מעודכן'!A:D,4,0)</f>
        <v>242681.2</v>
      </c>
      <c r="R376" s="95">
        <f>VLOOKUP(B:B,'[3]תשלומים 2017'!B:T,17,0)</f>
        <v>243000</v>
      </c>
      <c r="S376" s="95">
        <f>Q376/9*12</f>
        <v>323574.93333333335</v>
      </c>
      <c r="T376" s="95">
        <f>VLOOKUP('פירוט תקציב 2017 ו 2018'!B376,'תשלומים 2017'!$A$2:$Q$391,17,0)</f>
        <v>243000</v>
      </c>
      <c r="U376" s="95">
        <v>500000</v>
      </c>
      <c r="V376" s="111">
        <v>0.5</v>
      </c>
      <c r="W376" s="111">
        <v>1</v>
      </c>
    </row>
    <row r="377" spans="2:23" ht="15">
      <c r="B377" s="92">
        <v>1613000400</v>
      </c>
      <c r="C377" s="109" t="str">
        <f t="shared" si="88"/>
        <v>400</v>
      </c>
      <c r="D377" s="109" t="str">
        <f t="shared" si="89"/>
        <v>613000</v>
      </c>
      <c r="E377" s="93" t="s">
        <v>376</v>
      </c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>
        <f>VLOOKUP(B:B,'[3]תשלומים 2017'!B:R,15,0)</f>
        <v>6000</v>
      </c>
      <c r="Q377" s="95">
        <f>VLOOKUP(B:B,'[3]דוח כספי 10.17 מעודכן'!A:D,4,0)</f>
        <v>12098.63</v>
      </c>
      <c r="R377" s="95">
        <f>VLOOKUP(B:B,'[3]תשלומים 2017'!B:T,17,0)</f>
        <v>15000</v>
      </c>
      <c r="S377" s="95">
        <f t="shared" ref="S377:S393" si="90">Q377/10*12</f>
        <v>14518.355999999998</v>
      </c>
      <c r="T377" s="95">
        <f>VLOOKUP('פירוט תקציב 2017 ו 2018'!B377,'תשלומים 2017'!$A$2:$Q$391,17,0)</f>
        <v>15000</v>
      </c>
      <c r="U377" s="95">
        <v>10000</v>
      </c>
      <c r="V377" s="110"/>
      <c r="W377" s="110"/>
    </row>
    <row r="378" spans="2:23" ht="15">
      <c r="B378" s="100">
        <v>1613000431</v>
      </c>
      <c r="C378" s="101" t="str">
        <f t="shared" si="88"/>
        <v>431</v>
      </c>
      <c r="D378" s="101" t="str">
        <f t="shared" si="89"/>
        <v>613000</v>
      </c>
      <c r="E378" s="102" t="s">
        <v>377</v>
      </c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>
        <f>VLOOKUP(B:B,'[3]תשלומים 2017'!B:R,15,0)</f>
        <v>18000</v>
      </c>
      <c r="Q378" s="103">
        <f>VLOOKUP(B:B,'[3]דוח כספי 10.17 מעודכן'!A:D,4,0)</f>
        <v>8210.44</v>
      </c>
      <c r="R378" s="103">
        <f>VLOOKUP(B:B,'[3]תשלומים 2017'!B:T,17,0)</f>
        <v>10000</v>
      </c>
      <c r="S378" s="103">
        <f t="shared" si="90"/>
        <v>9852.5280000000021</v>
      </c>
      <c r="T378" s="95">
        <f>VLOOKUP('פירוט תקציב 2017 ו 2018'!B378,'תשלומים 2017'!$A$2:$Q$391,17,0)</f>
        <v>10000</v>
      </c>
      <c r="U378" s="103">
        <v>1000</v>
      </c>
      <c r="V378" s="104"/>
      <c r="W378" s="104"/>
    </row>
    <row r="379" spans="2:23" ht="15">
      <c r="B379" s="100">
        <v>1613000432</v>
      </c>
      <c r="C379" s="101" t="str">
        <f t="shared" si="88"/>
        <v>432</v>
      </c>
      <c r="D379" s="101" t="str">
        <f t="shared" si="89"/>
        <v>613000</v>
      </c>
      <c r="E379" s="102" t="s">
        <v>378</v>
      </c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>
        <f>VLOOKUP(B:B,'[3]תשלומים 2017'!B:R,15,0)</f>
        <v>18000</v>
      </c>
      <c r="Q379" s="103">
        <f>VLOOKUP(B:B,'[3]דוח כספי 10.17 מעודכן'!A:D,4,0)</f>
        <v>72835.899999999994</v>
      </c>
      <c r="R379" s="103">
        <f>VLOOKUP(B:B,'[3]תשלומים 2017'!B:T,17,0)</f>
        <v>18000</v>
      </c>
      <c r="S379" s="103">
        <v>0</v>
      </c>
      <c r="T379" s="95">
        <f>VLOOKUP('פירוט תקציב 2017 ו 2018'!B379,'תשלומים 2017'!$A$2:$Q$391,17,0)</f>
        <v>18000</v>
      </c>
      <c r="U379" s="103">
        <v>18000</v>
      </c>
      <c r="V379" s="104"/>
      <c r="W379" s="104"/>
    </row>
    <row r="380" spans="2:23" ht="15">
      <c r="B380" s="92">
        <v>1613000433</v>
      </c>
      <c r="C380" s="109" t="str">
        <f t="shared" si="88"/>
        <v>433</v>
      </c>
      <c r="D380" s="109" t="str">
        <f t="shared" si="89"/>
        <v>613000</v>
      </c>
      <c r="E380" s="93" t="s">
        <v>379</v>
      </c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>
        <f>VLOOKUP(B:B,'[3]תשלומים 2017'!B:R,15,0)</f>
        <v>8000</v>
      </c>
      <c r="Q380" s="95">
        <f>VLOOKUP(B:B,'[3]דוח כספי 10.17 מעודכן'!A:D,4,0)</f>
        <v>11901</v>
      </c>
      <c r="R380" s="95">
        <f>VLOOKUP(B:B,'[3]תשלומים 2017'!B:T,17,0)</f>
        <v>14000</v>
      </c>
      <c r="S380" s="95">
        <f t="shared" si="90"/>
        <v>14281.199999999999</v>
      </c>
      <c r="T380" s="95">
        <f>VLOOKUP('פירוט תקציב 2017 ו 2018'!B380,'תשלומים 2017'!$A$2:$Q$391,17,0)</f>
        <v>14000</v>
      </c>
      <c r="U380" s="95">
        <v>12000</v>
      </c>
      <c r="V380" s="110"/>
      <c r="W380" s="110"/>
    </row>
    <row r="381" spans="2:23" ht="15">
      <c r="B381" s="100">
        <v>1613000440</v>
      </c>
      <c r="C381" s="101" t="str">
        <f t="shared" si="88"/>
        <v>440</v>
      </c>
      <c r="D381" s="101" t="str">
        <f t="shared" si="89"/>
        <v>613000</v>
      </c>
      <c r="E381" s="102" t="s">
        <v>354</v>
      </c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>
        <f>VLOOKUP(B:B,'[3]תשלומים 2017'!B:R,15,0)</f>
        <v>193000</v>
      </c>
      <c r="Q381" s="103">
        <f>VLOOKUP(B:B,'[3]דוח כספי 10.17 מעודכן'!A:D,4,0)</f>
        <v>409000</v>
      </c>
      <c r="R381" s="103">
        <v>273000</v>
      </c>
      <c r="S381" s="103">
        <f t="shared" si="90"/>
        <v>490800</v>
      </c>
      <c r="T381" s="95">
        <f>VLOOKUP('פירוט תקציב 2017 ו 2018'!B381,'תשלומים 2017'!$A$2:$Q$391,17,0)</f>
        <v>409000</v>
      </c>
      <c r="U381" s="103">
        <v>273000</v>
      </c>
      <c r="V381" s="104"/>
      <c r="W381" s="104"/>
    </row>
    <row r="382" spans="2:23" ht="15">
      <c r="B382" s="92">
        <v>1613000450</v>
      </c>
      <c r="C382" s="109" t="str">
        <f t="shared" si="88"/>
        <v>450</v>
      </c>
      <c r="D382" s="109" t="str">
        <f t="shared" si="89"/>
        <v>613000</v>
      </c>
      <c r="E382" s="93" t="s">
        <v>380</v>
      </c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>
        <f>VLOOKUP(B:B,'[3]תשלומים 2017'!B:R,15,0)</f>
        <v>0</v>
      </c>
      <c r="Q382" s="95">
        <f>VLOOKUP(B:B,'[3]דוח כספי 10.17 מעודכן'!A:D,4,0)</f>
        <v>15584.4</v>
      </c>
      <c r="R382" s="95">
        <f>VLOOKUP(B:B,'[3]תשלומים 2017'!B:T,17,0)</f>
        <v>19000</v>
      </c>
      <c r="S382" s="95">
        <f t="shared" si="90"/>
        <v>18701.28</v>
      </c>
      <c r="T382" s="95">
        <f>VLOOKUP('פירוט תקציב 2017 ו 2018'!B382,'תשלומים 2017'!$A$2:$Q$391,17,0)</f>
        <v>19000</v>
      </c>
      <c r="U382" s="95">
        <v>19000</v>
      </c>
      <c r="V382" s="110"/>
      <c r="W382" s="110"/>
    </row>
    <row r="383" spans="2:23" ht="15">
      <c r="B383" s="92">
        <v>1613000460</v>
      </c>
      <c r="C383" s="109" t="str">
        <f t="shared" si="88"/>
        <v>460</v>
      </c>
      <c r="D383" s="109" t="str">
        <f t="shared" si="89"/>
        <v>613000</v>
      </c>
      <c r="E383" s="93" t="s">
        <v>381</v>
      </c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>
        <f>VLOOKUP(B:B,'[3]תשלומים 2017'!B:R,15,0)</f>
        <v>17000</v>
      </c>
      <c r="Q383" s="95">
        <f>VLOOKUP(B:B,'[3]דוח כספי 10.17 מעודכן'!A:D,4,0)</f>
        <v>19468.8</v>
      </c>
      <c r="R383" s="95">
        <f>VLOOKUP(B:B,'[3]תשלומים 2017'!B:T,17,0)</f>
        <v>23000</v>
      </c>
      <c r="S383" s="95">
        <f t="shared" si="90"/>
        <v>23362.559999999998</v>
      </c>
      <c r="T383" s="95">
        <f>VLOOKUP('פירוט תקציב 2017 ו 2018'!B383,'תשלומים 2017'!$A$2:$Q$391,17,0)</f>
        <v>23000</v>
      </c>
      <c r="U383" s="95">
        <v>23000</v>
      </c>
      <c r="V383" s="110"/>
      <c r="W383" s="110"/>
    </row>
    <row r="384" spans="2:23" ht="15">
      <c r="B384" s="92">
        <v>1613000470</v>
      </c>
      <c r="C384" s="109" t="str">
        <f t="shared" si="88"/>
        <v>470</v>
      </c>
      <c r="D384" s="109" t="str">
        <f t="shared" si="89"/>
        <v>613000</v>
      </c>
      <c r="E384" s="93" t="s">
        <v>382</v>
      </c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>
        <f>VLOOKUP(B:B,'[3]תשלומים 2017'!B:R,15,0)</f>
        <v>12000</v>
      </c>
      <c r="Q384" s="95">
        <f>VLOOKUP(B:B,'[3]דוח כספי 10.17 מעודכן'!A:D,4,0)</f>
        <v>9765.39</v>
      </c>
      <c r="R384" s="95">
        <f>VLOOKUP(B:B,'[3]תשלומים 2017'!B:T,17,0)</f>
        <v>12000</v>
      </c>
      <c r="S384" s="95">
        <f t="shared" si="90"/>
        <v>11718.468000000001</v>
      </c>
      <c r="T384" s="95">
        <f>VLOOKUP('פירוט תקציב 2017 ו 2018'!B384,'תשלומים 2017'!$A$2:$Q$391,17,0)</f>
        <v>12000</v>
      </c>
      <c r="U384" s="95">
        <v>12000</v>
      </c>
      <c r="V384" s="110"/>
      <c r="W384" s="110"/>
    </row>
    <row r="385" spans="2:23" ht="15">
      <c r="B385" s="92">
        <v>1613000510</v>
      </c>
      <c r="C385" s="109" t="str">
        <f t="shared" si="88"/>
        <v>510</v>
      </c>
      <c r="D385" s="109" t="str">
        <f t="shared" si="89"/>
        <v>613000</v>
      </c>
      <c r="E385" s="93" t="s">
        <v>383</v>
      </c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>
        <f>VLOOKUP(B:B,'[3]תשלומים 2017'!B:R,15,0)</f>
        <v>21000</v>
      </c>
      <c r="Q385" s="95">
        <f>VLOOKUP(B:B,'[3]דוח כספי 10.17 מעודכן'!A:D,4,0)</f>
        <v>25766</v>
      </c>
      <c r="R385" s="95">
        <f>VLOOKUP(B:B,'[3]תשלומים 2017'!B:T,17,0)</f>
        <v>30000</v>
      </c>
      <c r="S385" s="95">
        <f t="shared" si="90"/>
        <v>30919.199999999997</v>
      </c>
      <c r="T385" s="95">
        <f>VLOOKUP('פירוט תקציב 2017 ו 2018'!B385,'תשלומים 2017'!$A$2:$Q$391,17,0)</f>
        <v>30000</v>
      </c>
      <c r="U385" s="95">
        <v>31000</v>
      </c>
      <c r="V385" s="110"/>
      <c r="W385" s="110"/>
    </row>
    <row r="386" spans="2:23" ht="15">
      <c r="B386" s="100">
        <v>1613000521</v>
      </c>
      <c r="C386" s="101" t="str">
        <f t="shared" si="88"/>
        <v>521</v>
      </c>
      <c r="D386" s="101" t="str">
        <f t="shared" si="89"/>
        <v>613000</v>
      </c>
      <c r="E386" s="102" t="s">
        <v>357</v>
      </c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>
        <f>VLOOKUP(B:B,'[3]תשלומים 2017'!B:R,15,0)</f>
        <v>80000</v>
      </c>
      <c r="Q386" s="103">
        <f>VLOOKUP(B:B,'[3]דוח כספי 10.17 מעודכן'!A:D,4,0)</f>
        <v>85530</v>
      </c>
      <c r="R386" s="103">
        <v>0</v>
      </c>
      <c r="S386" s="103">
        <f t="shared" si="90"/>
        <v>102636</v>
      </c>
      <c r="T386" s="95">
        <f>VLOOKUP('פירוט תקציב 2017 ו 2018'!B386,'תשלומים 2017'!$A$2:$Q$391,17,0)</f>
        <v>86000</v>
      </c>
      <c r="U386" s="103">
        <v>0</v>
      </c>
      <c r="V386" s="104"/>
      <c r="W386" s="104"/>
    </row>
    <row r="387" spans="2:23" ht="15">
      <c r="B387" s="92">
        <v>1613000522</v>
      </c>
      <c r="C387" s="109" t="str">
        <f t="shared" si="88"/>
        <v>522</v>
      </c>
      <c r="D387" s="109" t="str">
        <f t="shared" si="89"/>
        <v>613000</v>
      </c>
      <c r="E387" s="93" t="s">
        <v>384</v>
      </c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>
        <f>VLOOKUP(B:B,'[3]תשלומים 2017'!B:R,15,0)</f>
        <v>0</v>
      </c>
      <c r="Q387" s="95">
        <f>VLOOKUP(B:B,'[3]דוח כספי 10.17 מעודכן'!A:D,4,0)</f>
        <v>1733</v>
      </c>
      <c r="R387" s="95">
        <f>VLOOKUP(B:B,'[3]תשלומים 2017'!B:T,17,0)</f>
        <v>2000</v>
      </c>
      <c r="S387" s="95">
        <f t="shared" si="90"/>
        <v>2079.6000000000004</v>
      </c>
      <c r="T387" s="95">
        <f>VLOOKUP('פירוט תקציב 2017 ו 2018'!B387,'תשלומים 2017'!$A$2:$Q$391,17,0)</f>
        <v>2000</v>
      </c>
      <c r="U387" s="95">
        <v>2000</v>
      </c>
      <c r="V387" s="110"/>
      <c r="W387" s="110"/>
    </row>
    <row r="388" spans="2:23" ht="15">
      <c r="B388" s="92">
        <v>1613000540</v>
      </c>
      <c r="C388" s="109" t="str">
        <f t="shared" si="88"/>
        <v>540</v>
      </c>
      <c r="D388" s="109" t="str">
        <f t="shared" si="89"/>
        <v>613000</v>
      </c>
      <c r="E388" s="93" t="s">
        <v>385</v>
      </c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>
        <f>VLOOKUP(B:B,'[3]תשלומים 2017'!B:R,15,0)</f>
        <v>72000</v>
      </c>
      <c r="Q388" s="95">
        <f>VLOOKUP(B:B,'[3]דוח כספי 10.17 מעודכן'!A:D,4,0)</f>
        <v>19165.189999999999</v>
      </c>
      <c r="R388" s="95">
        <f>VLOOKUP(B:B,'[3]תשלומים 2017'!B:T,17,0)</f>
        <v>23000</v>
      </c>
      <c r="S388" s="95">
        <f t="shared" si="90"/>
        <v>22998.227999999996</v>
      </c>
      <c r="T388" s="95">
        <f>VLOOKUP('פירוט תקציב 2017 ו 2018'!B388,'תשלומים 2017'!$A$2:$Q$391,17,0)</f>
        <v>23000</v>
      </c>
      <c r="U388" s="95">
        <v>23000</v>
      </c>
      <c r="V388" s="110"/>
      <c r="W388" s="110"/>
    </row>
    <row r="389" spans="2:23" ht="15">
      <c r="B389" s="92">
        <v>1613000550</v>
      </c>
      <c r="C389" s="109" t="str">
        <f t="shared" si="88"/>
        <v>550</v>
      </c>
      <c r="D389" s="109" t="str">
        <f t="shared" si="89"/>
        <v>613000</v>
      </c>
      <c r="E389" s="93" t="s">
        <v>386</v>
      </c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>
        <f>VLOOKUP(B:B,'[3]תשלומים 2017'!B:R,15,0)</f>
        <v>19000</v>
      </c>
      <c r="Q389" s="95">
        <f>VLOOKUP(B:B,'[3]דוח כספי 10.17 מעודכן'!A:D,4,0)</f>
        <v>83080.5</v>
      </c>
      <c r="R389" s="95">
        <f>VLOOKUP(B:B,'[3]תשלומים 2017'!B:T,17,0)</f>
        <v>100000</v>
      </c>
      <c r="S389" s="95">
        <f t="shared" si="90"/>
        <v>99696.599999999991</v>
      </c>
      <c r="T389" s="95">
        <f>VLOOKUP('פירוט תקציב 2017 ו 2018'!B389,'תשלומים 2017'!$A$2:$Q$391,17,0)</f>
        <v>100000</v>
      </c>
      <c r="U389" s="95">
        <v>50000</v>
      </c>
      <c r="V389" s="110"/>
      <c r="W389" s="110"/>
    </row>
    <row r="390" spans="2:23" ht="15">
      <c r="B390" s="92">
        <v>1613000560</v>
      </c>
      <c r="C390" s="109" t="str">
        <f t="shared" si="88"/>
        <v>560</v>
      </c>
      <c r="D390" s="109" t="str">
        <f t="shared" si="89"/>
        <v>613000</v>
      </c>
      <c r="E390" s="93" t="s">
        <v>387</v>
      </c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>
        <f>VLOOKUP(B:B,'[3]תשלומים 2017'!B:R,15,0)</f>
        <v>35000</v>
      </c>
      <c r="Q390" s="95">
        <f>VLOOKUP(B:B,'[3]דוח כספי 10.17 מעודכן'!A:D,4,0)</f>
        <v>20378</v>
      </c>
      <c r="R390" s="95">
        <f>VLOOKUP(B:B,'[3]תשלומים 2017'!B:T,17,0)</f>
        <v>25000</v>
      </c>
      <c r="S390" s="95">
        <f t="shared" si="90"/>
        <v>24453.599999999999</v>
      </c>
      <c r="T390" s="95">
        <f>VLOOKUP('פירוט תקציב 2017 ו 2018'!B390,'תשלומים 2017'!$A$2:$Q$391,17,0)</f>
        <v>25000</v>
      </c>
      <c r="U390" s="95">
        <v>24000</v>
      </c>
      <c r="V390" s="110"/>
      <c r="W390" s="110"/>
    </row>
    <row r="391" spans="2:23" ht="15">
      <c r="B391" s="92">
        <v>1613000570</v>
      </c>
      <c r="C391" s="109" t="str">
        <f t="shared" si="88"/>
        <v>570</v>
      </c>
      <c r="D391" s="109" t="str">
        <f t="shared" si="89"/>
        <v>613000</v>
      </c>
      <c r="E391" s="93" t="s">
        <v>388</v>
      </c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>
        <f>VLOOKUP(B:B,'[3]תשלומים 2017'!B:R,15,0)</f>
        <v>0</v>
      </c>
      <c r="Q391" s="95">
        <f>VLOOKUP(B:B,'[3]דוח כספי 10.17 מעודכן'!A:D,4,0)</f>
        <v>0</v>
      </c>
      <c r="R391" s="95">
        <f>VLOOKUP(B:B,'[3]תשלומים 2017'!B:T,17,0)</f>
        <v>0</v>
      </c>
      <c r="S391" s="95">
        <f t="shared" si="90"/>
        <v>0</v>
      </c>
      <c r="T391" s="95">
        <f>VLOOKUP('פירוט תקציב 2017 ו 2018'!B391,'תשלומים 2017'!$A$2:$Q$391,17,0)</f>
        <v>0</v>
      </c>
      <c r="U391" s="95">
        <v>0</v>
      </c>
      <c r="V391" s="110"/>
      <c r="W391" s="110"/>
    </row>
    <row r="392" spans="2:23" ht="15">
      <c r="B392" s="92">
        <v>1613000780</v>
      </c>
      <c r="C392" s="109">
        <v>780</v>
      </c>
      <c r="D392" s="109">
        <v>613000</v>
      </c>
      <c r="E392" s="93" t="s">
        <v>389</v>
      </c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>
        <f>VLOOKUP(B:B,'[3]תשלומים 2017'!B:R,15,0)</f>
        <v>70000</v>
      </c>
      <c r="Q392" s="95">
        <v>0</v>
      </c>
      <c r="R392" s="95">
        <v>150000</v>
      </c>
      <c r="S392" s="95">
        <v>0</v>
      </c>
      <c r="T392" s="95">
        <f>VLOOKUP('פירוט תקציב 2017 ו 2018'!B392,'תשלומים 2017'!$A$2:$Q$391,17,0)</f>
        <v>70000</v>
      </c>
      <c r="U392" s="95">
        <v>150000</v>
      </c>
      <c r="V392" s="110"/>
      <c r="W392" s="110"/>
    </row>
    <row r="393" spans="2:23" ht="15">
      <c r="B393" s="92">
        <v>1613000930</v>
      </c>
      <c r="C393" s="109" t="str">
        <f t="shared" si="88"/>
        <v>930</v>
      </c>
      <c r="D393" s="109" t="str">
        <f t="shared" si="89"/>
        <v>613000</v>
      </c>
      <c r="E393" s="93" t="s">
        <v>390</v>
      </c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>
        <f>VLOOKUP(B:B,'[3]תשלומים 2017'!B:R,15,0)</f>
        <v>20000</v>
      </c>
      <c r="Q393" s="95">
        <f>VLOOKUP(B:B,'[3]דוח כספי 10.17 מעודכן'!A:D,4,0)</f>
        <v>638</v>
      </c>
      <c r="R393" s="95">
        <f>VLOOKUP(B:B,'[3]תשלומים 2017'!B:T,17,0)</f>
        <v>5000</v>
      </c>
      <c r="S393" s="95">
        <f t="shared" si="90"/>
        <v>765.59999999999991</v>
      </c>
      <c r="T393" s="95">
        <f>VLOOKUP('פירוט תקציב 2017 ו 2018'!B393,'תשלומים 2017'!$A$2:$Q$391,17,0)</f>
        <v>5000</v>
      </c>
      <c r="U393" s="95">
        <v>1000</v>
      </c>
      <c r="V393" s="110"/>
      <c r="W393" s="110"/>
    </row>
    <row r="394" spans="2:23" ht="15">
      <c r="B394" s="92">
        <v>1613100110</v>
      </c>
      <c r="C394" s="93" t="str">
        <f t="shared" si="88"/>
        <v>110</v>
      </c>
      <c r="D394" s="93" t="str">
        <f>MID(B394,2,6)</f>
        <v>613100</v>
      </c>
      <c r="E394" s="93" t="s">
        <v>391</v>
      </c>
      <c r="F394" s="94"/>
      <c r="G394" s="94"/>
      <c r="H394" s="94"/>
      <c r="I394" s="94"/>
      <c r="J394" s="95"/>
      <c r="K394" s="95"/>
      <c r="L394" s="95"/>
      <c r="M394" s="95"/>
      <c r="N394" s="95"/>
      <c r="O394" s="95"/>
      <c r="P394" s="95">
        <f>VLOOKUP(B:B,'[3]תשלומים 2017'!B:R,15,0)</f>
        <v>369000</v>
      </c>
      <c r="Q394" s="95">
        <f>VLOOKUP(B:B,'[3]דוח כספי 10.17 מעודכן'!A:D,4,0)</f>
        <v>195581.44</v>
      </c>
      <c r="R394" s="95">
        <f>VLOOKUP(B:B,'[3]תשלומים 2017'!B:T,17,0)</f>
        <v>250000</v>
      </c>
      <c r="S394" s="95">
        <f>Q394/9*12</f>
        <v>260775.25333333336</v>
      </c>
      <c r="T394" s="95">
        <f>VLOOKUP('פירוט תקציב 2017 ו 2018'!B394,'תשלומים 2017'!$A$2:$Q$391,17,0)</f>
        <v>250000</v>
      </c>
      <c r="U394" s="95">
        <v>213000</v>
      </c>
      <c r="V394" s="111">
        <v>2.7</v>
      </c>
      <c r="W394" s="111">
        <v>2.7</v>
      </c>
    </row>
    <row r="395" spans="2:23" ht="15">
      <c r="B395" s="28"/>
      <c r="C395" s="29"/>
      <c r="D395" s="29"/>
      <c r="E395" s="29" t="s">
        <v>393</v>
      </c>
      <c r="F395" s="30" t="e">
        <f>SUM(#REF!)</f>
        <v>#REF!</v>
      </c>
      <c r="G395" s="30" t="e">
        <f>SUM(#REF!)</f>
        <v>#REF!</v>
      </c>
      <c r="H395" s="30" t="e">
        <f>SUM(#REF!)</f>
        <v>#REF!</v>
      </c>
      <c r="I395" s="30" t="e">
        <f>SUM(#REF!)</f>
        <v>#REF!</v>
      </c>
      <c r="J395" s="30" t="e">
        <f>SUM(#REF!)</f>
        <v>#REF!</v>
      </c>
      <c r="K395" s="30" t="e">
        <f>SUM(#REF!)</f>
        <v>#REF!</v>
      </c>
      <c r="L395" s="30">
        <f>SUM(L376:L393)</f>
        <v>0</v>
      </c>
      <c r="M395" s="30">
        <f>SUM(M376:M393)</f>
        <v>0</v>
      </c>
      <c r="N395" s="30">
        <f>SUM(N376:N393)</f>
        <v>0</v>
      </c>
      <c r="O395" s="30">
        <f>SUM(O376:O393)</f>
        <v>0</v>
      </c>
      <c r="P395" s="30">
        <f t="shared" ref="P395:W395" si="91">SUM(P376:P394)</f>
        <v>1357000</v>
      </c>
      <c r="Q395" s="30">
        <f t="shared" si="91"/>
        <v>1233417.8900000001</v>
      </c>
      <c r="R395" s="30">
        <f t="shared" si="91"/>
        <v>1212000</v>
      </c>
      <c r="S395" s="30">
        <f t="shared" si="91"/>
        <v>1451133.406666667</v>
      </c>
      <c r="T395" s="30">
        <f t="shared" si="91"/>
        <v>1354000</v>
      </c>
      <c r="U395" s="30">
        <f t="shared" si="91"/>
        <v>1362000</v>
      </c>
      <c r="V395" s="112">
        <f t="shared" si="91"/>
        <v>3.2</v>
      </c>
      <c r="W395" s="112">
        <f t="shared" si="91"/>
        <v>3.7</v>
      </c>
    </row>
    <row r="396" spans="2:23" ht="15">
      <c r="B396" s="92">
        <v>1617000620</v>
      </c>
      <c r="C396" s="109" t="str">
        <f t="shared" si="88"/>
        <v>620</v>
      </c>
      <c r="D396" s="109" t="str">
        <f>MID(B396,2,6)</f>
        <v>617000</v>
      </c>
      <c r="E396" s="93" t="s">
        <v>394</v>
      </c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>
        <f>VLOOKUP(B:B,'[3]תשלומים 2017'!B:R,15,0)</f>
        <v>100000</v>
      </c>
      <c r="Q396" s="95">
        <f>VLOOKUP(B:B,'[3]דוח כספי 10.17 מעודכן'!A:D,4,0)</f>
        <v>105345.86</v>
      </c>
      <c r="R396" s="95">
        <f>VLOOKUP(B:B,'[3]תשלומים 2017'!B:T,17,0)</f>
        <v>125000</v>
      </c>
      <c r="S396" s="95">
        <f>Q396/10*12</f>
        <v>126415.03199999999</v>
      </c>
      <c r="T396" s="95">
        <f>VLOOKUP('פירוט תקציב 2017 ו 2018'!B396,'תשלומים 2017'!$A$2:$Q$391,17,0)</f>
        <v>125000</v>
      </c>
      <c r="U396" s="95">
        <v>127000</v>
      </c>
      <c r="V396" s="110"/>
      <c r="W396" s="110"/>
    </row>
    <row r="397" spans="2:23" ht="15">
      <c r="B397" s="92">
        <v>1617000750</v>
      </c>
      <c r="C397" s="109" t="str">
        <f t="shared" si="88"/>
        <v>750</v>
      </c>
      <c r="D397" s="109" t="str">
        <f>MID(B397,2,6)</f>
        <v>617000</v>
      </c>
      <c r="E397" s="93" t="s">
        <v>395</v>
      </c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>
        <f>VLOOKUP(B:B,'[3]תשלומים 2017'!B:R,15,0)</f>
        <v>224000</v>
      </c>
      <c r="Q397" s="95">
        <f>VLOOKUP(B:B,'[3]דוח כספי 10.17 מעודכן'!A:D,4,0)</f>
        <v>223410</v>
      </c>
      <c r="R397" s="95">
        <f>VLOOKUP(B:B,'[3]תשלומים 2017'!B:T,17,0)</f>
        <v>265000</v>
      </c>
      <c r="S397" s="95">
        <f>Q397/10*12</f>
        <v>268092</v>
      </c>
      <c r="T397" s="95">
        <f>VLOOKUP('פירוט תקציב 2017 ו 2018'!B397,'תשלומים 2017'!$A$2:$Q$391,17,0)</f>
        <v>265000</v>
      </c>
      <c r="U397" s="95">
        <v>268000</v>
      </c>
      <c r="V397" s="110"/>
      <c r="W397" s="110"/>
    </row>
    <row r="398" spans="2:23" ht="15">
      <c r="B398" s="92">
        <v>1617000980</v>
      </c>
      <c r="C398" s="109" t="str">
        <f t="shared" si="88"/>
        <v>980</v>
      </c>
      <c r="D398" s="109" t="str">
        <f>MID(B398,2,6)</f>
        <v>617000</v>
      </c>
      <c r="E398" s="93" t="s">
        <v>396</v>
      </c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>
        <f>VLOOKUP(B:B,'[3]תשלומים 2017'!B:R,15,0)</f>
        <v>3000</v>
      </c>
      <c r="Q398" s="95">
        <f>VLOOKUP(B:B,'[3]דוח כספי 10.17 מעודכן'!A:D,4,0)</f>
        <v>0</v>
      </c>
      <c r="R398" s="95">
        <f>VLOOKUP(B:B,'[3]תשלומים 2017'!B:T,17,0)</f>
        <v>36000</v>
      </c>
      <c r="S398" s="95">
        <f>Q398/10*12</f>
        <v>0</v>
      </c>
      <c r="T398" s="95">
        <f>VLOOKUP('פירוט תקציב 2017 ו 2018'!B398,'תשלומים 2017'!$A$2:$Q$391,17,0)</f>
        <v>36000</v>
      </c>
      <c r="U398" s="95">
        <v>36000</v>
      </c>
      <c r="V398" s="110"/>
      <c r="W398" s="110"/>
    </row>
    <row r="399" spans="2:23" ht="15">
      <c r="B399" s="28"/>
      <c r="C399" s="29"/>
      <c r="D399" s="29"/>
      <c r="E399" s="29" t="s">
        <v>397</v>
      </c>
      <c r="F399" s="30" t="e">
        <f>SUM(#REF!)</f>
        <v>#REF!</v>
      </c>
      <c r="G399" s="30" t="e">
        <f>SUM(#REF!)</f>
        <v>#REF!</v>
      </c>
      <c r="H399" s="30" t="e">
        <f>SUM(#REF!)</f>
        <v>#REF!</v>
      </c>
      <c r="I399" s="30" t="e">
        <f>SUM(#REF!)</f>
        <v>#REF!</v>
      </c>
      <c r="J399" s="30" t="e">
        <f>SUM(#REF!)</f>
        <v>#REF!</v>
      </c>
      <c r="K399" s="30" t="e">
        <f>SUM(#REF!)</f>
        <v>#REF!</v>
      </c>
      <c r="L399" s="30" t="e">
        <f>SUM(#REF!)</f>
        <v>#REF!</v>
      </c>
      <c r="M399" s="30" t="e">
        <f>SUM(#REF!)</f>
        <v>#REF!</v>
      </c>
      <c r="N399" s="30" t="e">
        <f>SUM(#REF!)</f>
        <v>#REF!</v>
      </c>
      <c r="O399" s="30" t="e">
        <f>SUM(#REF!)</f>
        <v>#REF!</v>
      </c>
      <c r="P399" s="30">
        <f t="shared" ref="P399:W399" si="92">SUM(P396:P398)</f>
        <v>327000</v>
      </c>
      <c r="Q399" s="30">
        <f t="shared" si="92"/>
        <v>328755.86</v>
      </c>
      <c r="R399" s="30">
        <f t="shared" si="92"/>
        <v>426000</v>
      </c>
      <c r="S399" s="30">
        <f t="shared" si="92"/>
        <v>394507.03200000001</v>
      </c>
      <c r="T399" s="30">
        <f t="shared" si="92"/>
        <v>426000</v>
      </c>
      <c r="U399" s="30">
        <f t="shared" si="92"/>
        <v>431000</v>
      </c>
      <c r="V399" s="31">
        <f t="shared" si="92"/>
        <v>0</v>
      </c>
      <c r="W399" s="31">
        <f t="shared" si="92"/>
        <v>0</v>
      </c>
    </row>
    <row r="400" spans="2:23" ht="15">
      <c r="B400" s="92">
        <v>1619000580</v>
      </c>
      <c r="C400" s="109" t="str">
        <f t="shared" si="88"/>
        <v>580</v>
      </c>
      <c r="D400" s="109" t="str">
        <f>MID(B400,2,6)</f>
        <v>619000</v>
      </c>
      <c r="E400" s="93" t="s">
        <v>398</v>
      </c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>
        <f>VLOOKUP(B:B,'[3]תשלומים 2017'!B:R,15,0)</f>
        <v>0</v>
      </c>
      <c r="Q400" s="95">
        <f>VLOOKUP(B:B,'[3]דוח כספי 10.17 מעודכן'!A:D,4,0)</f>
        <v>0</v>
      </c>
      <c r="R400" s="95">
        <f>VLOOKUP(B:B,'[3]תשלומים 2017'!B:T,17,0)</f>
        <v>0</v>
      </c>
      <c r="S400" s="95">
        <v>0</v>
      </c>
      <c r="T400" s="95">
        <f>VLOOKUP('פירוט תקציב 2017 ו 2018'!B400,'תשלומים 2017'!$A$2:$Q$391,17,0)</f>
        <v>0</v>
      </c>
      <c r="U400" s="95">
        <v>200000</v>
      </c>
      <c r="V400" s="110"/>
      <c r="W400" s="110"/>
    </row>
    <row r="401" spans="2:23" ht="15">
      <c r="B401" s="28"/>
      <c r="C401" s="29"/>
      <c r="D401" s="29"/>
      <c r="E401" s="29" t="s">
        <v>399</v>
      </c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>
        <f t="shared" ref="P401:S401" si="93">SUM(P400)</f>
        <v>0</v>
      </c>
      <c r="Q401" s="30">
        <f t="shared" si="93"/>
        <v>0</v>
      </c>
      <c r="R401" s="30">
        <f t="shared" si="93"/>
        <v>0</v>
      </c>
      <c r="S401" s="30">
        <f t="shared" si="93"/>
        <v>0</v>
      </c>
      <c r="T401" s="30">
        <f>SUM(T400)</f>
        <v>0</v>
      </c>
      <c r="U401" s="30">
        <f>SUM(U400)</f>
        <v>200000</v>
      </c>
      <c r="V401" s="31"/>
      <c r="W401" s="31"/>
    </row>
    <row r="402" spans="2:23" ht="15">
      <c r="B402" s="92">
        <v>1621000110</v>
      </c>
      <c r="C402" s="93" t="str">
        <f t="shared" si="88"/>
        <v>110</v>
      </c>
      <c r="D402" s="93" t="str">
        <f t="shared" ref="D402:D414" si="94">MID(B402,2,6)</f>
        <v>621000</v>
      </c>
      <c r="E402" s="93" t="s">
        <v>353</v>
      </c>
      <c r="F402" s="94"/>
      <c r="G402" s="94"/>
      <c r="H402" s="94"/>
      <c r="I402" s="94"/>
      <c r="J402" s="95"/>
      <c r="K402" s="95"/>
      <c r="L402" s="95"/>
      <c r="M402" s="95"/>
      <c r="N402" s="95"/>
      <c r="O402" s="95"/>
      <c r="P402" s="95">
        <f>VLOOKUP(B:B,'[3]תשלומים 2017'!B:R,15,0)</f>
        <v>683000</v>
      </c>
      <c r="Q402" s="95">
        <f>VLOOKUP(B:B,'[3]דוח כספי 10.17 מעודכן'!A:D,4,0)</f>
        <v>519009.27</v>
      </c>
      <c r="R402" s="95">
        <f>VLOOKUP(B:B,'[3]תשלומים 2017'!B:T,17,0)</f>
        <v>687000</v>
      </c>
      <c r="S402" s="95">
        <f>Q402/9*12</f>
        <v>692012.3600000001</v>
      </c>
      <c r="T402" s="95">
        <f>VLOOKUP('פירוט תקציב 2017 ו 2018'!B402,'תשלומים 2017'!$A$2:$Q$391,17,0)</f>
        <v>687000</v>
      </c>
      <c r="U402" s="95">
        <v>695000</v>
      </c>
      <c r="V402" s="116">
        <v>1</v>
      </c>
      <c r="W402" s="116">
        <v>1.02</v>
      </c>
    </row>
    <row r="403" spans="2:23" ht="15">
      <c r="B403" s="92">
        <v>1621000521</v>
      </c>
      <c r="C403" s="109" t="str">
        <f t="shared" si="88"/>
        <v>521</v>
      </c>
      <c r="D403" s="109" t="str">
        <f t="shared" si="94"/>
        <v>621000</v>
      </c>
      <c r="E403" s="93" t="s">
        <v>400</v>
      </c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>
        <f>VLOOKUP(B:B,'[3]תשלומים 2017'!B:R,15,0)</f>
        <v>6000</v>
      </c>
      <c r="Q403" s="95">
        <f>VLOOKUP(B:B,'[3]דוח כספי 10.17 מעודכן'!A:D,4,0)</f>
        <v>4950</v>
      </c>
      <c r="R403" s="95">
        <f>VLOOKUP(B:B,'[3]תשלומים 2017'!B:T,17,0)</f>
        <v>6000</v>
      </c>
      <c r="S403" s="95">
        <f>Q403/10*12</f>
        <v>5940</v>
      </c>
      <c r="T403" s="95">
        <f>VLOOKUP('פירוט תקציב 2017 ו 2018'!B403,'תשלומים 2017'!$A$2:$Q$391,17,0)</f>
        <v>6000</v>
      </c>
      <c r="U403" s="95">
        <v>6000</v>
      </c>
      <c r="V403" s="110"/>
      <c r="W403" s="110"/>
    </row>
    <row r="404" spans="2:23" ht="15">
      <c r="B404" s="92">
        <v>1621000540</v>
      </c>
      <c r="C404" s="109" t="str">
        <f t="shared" si="88"/>
        <v>540</v>
      </c>
      <c r="D404" s="109" t="str">
        <f t="shared" si="94"/>
        <v>621000</v>
      </c>
      <c r="E404" s="93" t="s">
        <v>401</v>
      </c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>
        <f>VLOOKUP(B:B,'[3]תשלומים 2017'!B:R,15,0)</f>
        <v>1000</v>
      </c>
      <c r="Q404" s="95">
        <f>VLOOKUP(B:B,'[3]דוח כספי 10.17 מעודכן'!A:D,4,0)</f>
        <v>0</v>
      </c>
      <c r="R404" s="95">
        <f>VLOOKUP(B:B,'[3]תשלומים 2017'!B:T,17,0)</f>
        <v>0</v>
      </c>
      <c r="S404" s="95">
        <f>Q404/10*12</f>
        <v>0</v>
      </c>
      <c r="T404" s="95">
        <f>VLOOKUP('פירוט תקציב 2017 ו 2018'!B404,'תשלומים 2017'!$A$2:$Q$391,17,0)</f>
        <v>0</v>
      </c>
      <c r="U404" s="95">
        <v>0</v>
      </c>
      <c r="V404" s="110"/>
      <c r="W404" s="110"/>
    </row>
    <row r="405" spans="2:23" ht="15">
      <c r="B405" s="92">
        <v>1621000750</v>
      </c>
      <c r="C405" s="109" t="str">
        <f t="shared" si="88"/>
        <v>750</v>
      </c>
      <c r="D405" s="109" t="str">
        <f t="shared" si="94"/>
        <v>621000</v>
      </c>
      <c r="E405" s="93" t="s">
        <v>402</v>
      </c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>
        <f>VLOOKUP(B:B,'[3]תשלומים 2017'!B:R,15,0)</f>
        <v>142000</v>
      </c>
      <c r="Q405" s="95">
        <f>VLOOKUP(B:B,'[3]דוח כספי 10.17 מעודכן'!A:D,4,0)</f>
        <v>93447</v>
      </c>
      <c r="R405" s="95">
        <f>VLOOKUP(B:B,'[3]תשלומים 2017'!B:T,17,0)</f>
        <v>145000</v>
      </c>
      <c r="S405" s="95">
        <f>Q405/10*12</f>
        <v>112136.40000000001</v>
      </c>
      <c r="T405" s="95">
        <f>VLOOKUP('פירוט תקציב 2017 ו 2018'!B405,'תשלומים 2017'!$A$2:$Q$391,17,0)</f>
        <v>145000</v>
      </c>
      <c r="U405" s="95">
        <v>200000</v>
      </c>
      <c r="V405" s="110"/>
      <c r="W405" s="110"/>
    </row>
    <row r="406" spans="2:23" ht="15">
      <c r="B406" s="92">
        <v>1621100110</v>
      </c>
      <c r="C406" s="93" t="str">
        <f t="shared" si="88"/>
        <v>110</v>
      </c>
      <c r="D406" s="93" t="str">
        <f t="shared" si="94"/>
        <v>621100</v>
      </c>
      <c r="E406" s="93" t="s">
        <v>403</v>
      </c>
      <c r="F406" s="94"/>
      <c r="G406" s="94"/>
      <c r="H406" s="94"/>
      <c r="I406" s="94"/>
      <c r="J406" s="95"/>
      <c r="K406" s="95"/>
      <c r="L406" s="95"/>
      <c r="M406" s="95"/>
      <c r="N406" s="95"/>
      <c r="O406" s="95"/>
      <c r="P406" s="95">
        <f>VLOOKUP(B:B,'[3]תשלומים 2017'!B:R,15,0)</f>
        <v>0</v>
      </c>
      <c r="Q406" s="95">
        <f>VLOOKUP(B:B,'[3]דוח כספי 10.17 מעודכן'!A:D,4,0)</f>
        <v>0</v>
      </c>
      <c r="R406" s="95">
        <f>VLOOKUP(B:B,'[3]תשלומים 2017'!B:T,17,0)</f>
        <v>0</v>
      </c>
      <c r="S406" s="95">
        <f>Q406/9*12</f>
        <v>0</v>
      </c>
      <c r="T406" s="95">
        <f>VLOOKUP('פירוט תקציב 2017 ו 2018'!B406,'תשלומים 2017'!$A$2:$Q$391,17,0)</f>
        <v>0</v>
      </c>
      <c r="U406" s="95">
        <v>0</v>
      </c>
      <c r="V406" s="111"/>
      <c r="W406" s="111"/>
    </row>
    <row r="407" spans="2:23" ht="15">
      <c r="B407" s="92">
        <v>1621100523</v>
      </c>
      <c r="C407" s="109" t="str">
        <f t="shared" si="88"/>
        <v>523</v>
      </c>
      <c r="D407" s="109" t="str">
        <f t="shared" si="94"/>
        <v>621100</v>
      </c>
      <c r="E407" s="93" t="s">
        <v>404</v>
      </c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>
        <f>VLOOKUP(B:B,'[3]תשלומים 2017'!B:R,15,0)</f>
        <v>0</v>
      </c>
      <c r="Q407" s="95">
        <f>VLOOKUP(B:B,'[3]דוח כספי 10.17 מעודכן'!A:D,4,0)</f>
        <v>0</v>
      </c>
      <c r="R407" s="95">
        <f>VLOOKUP(B:B,'[3]תשלומים 2017'!B:T,17,0)</f>
        <v>0</v>
      </c>
      <c r="S407" s="95">
        <f>Q407/10*12</f>
        <v>0</v>
      </c>
      <c r="T407" s="95">
        <f>VLOOKUP('פירוט תקציב 2017 ו 2018'!B407,'תשלומים 2017'!$A$2:$Q$391,17,0)</f>
        <v>0</v>
      </c>
      <c r="U407" s="95">
        <v>0</v>
      </c>
      <c r="V407" s="110"/>
      <c r="W407" s="110"/>
    </row>
    <row r="408" spans="2:23" ht="15">
      <c r="B408" s="92">
        <v>1621100810</v>
      </c>
      <c r="C408" s="109" t="str">
        <f t="shared" si="88"/>
        <v>810</v>
      </c>
      <c r="D408" s="109" t="str">
        <f t="shared" si="94"/>
        <v>621100</v>
      </c>
      <c r="E408" s="93" t="s">
        <v>405</v>
      </c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>
        <f>VLOOKUP(B:B,'[3]תשלומים 2017'!B:R,15,0)</f>
        <v>0</v>
      </c>
      <c r="Q408" s="95">
        <f>VLOOKUP(B:B,'[3]דוח כספי 10.17 מעודכן'!A:D,4,0)</f>
        <v>0</v>
      </c>
      <c r="R408" s="95">
        <f>VLOOKUP(B:B,'[3]תשלומים 2017'!B:T,17,0)</f>
        <v>0</v>
      </c>
      <c r="S408" s="95">
        <f>Q408/10*12</f>
        <v>0</v>
      </c>
      <c r="T408" s="95">
        <f>VLOOKUP('פירוט תקציב 2017 ו 2018'!B408,'תשלומים 2017'!$A$2:$Q$391,17,0)</f>
        <v>0</v>
      </c>
      <c r="U408" s="95">
        <v>0</v>
      </c>
      <c r="V408" s="110"/>
      <c r="W408" s="110"/>
    </row>
    <row r="409" spans="2:23" ht="15">
      <c r="B409" s="92">
        <v>1621130110</v>
      </c>
      <c r="C409" s="93" t="str">
        <f t="shared" si="88"/>
        <v>110</v>
      </c>
      <c r="D409" s="93" t="str">
        <f t="shared" si="94"/>
        <v>621130</v>
      </c>
      <c r="E409" s="93" t="s">
        <v>406</v>
      </c>
      <c r="F409" s="94"/>
      <c r="G409" s="94"/>
      <c r="H409" s="94"/>
      <c r="I409" s="94"/>
      <c r="J409" s="95"/>
      <c r="K409" s="95"/>
      <c r="L409" s="95"/>
      <c r="M409" s="95"/>
      <c r="N409" s="95"/>
      <c r="O409" s="95"/>
      <c r="P409" s="95">
        <f>VLOOKUP(B:B,'[3]תשלומים 2017'!B:R,15,0)</f>
        <v>129000</v>
      </c>
      <c r="Q409" s="95">
        <f>VLOOKUP(B:B,'[3]דוח כספי 10.17 מעודכן'!A:D,4,0)</f>
        <v>95161.8</v>
      </c>
      <c r="R409" s="95">
        <v>130000</v>
      </c>
      <c r="S409" s="95">
        <f>Q409/9*12</f>
        <v>126882.4</v>
      </c>
      <c r="T409" s="95">
        <f>VLOOKUP('פירוט תקציב 2017 ו 2018'!B409,'תשלומים 2017'!$A$2:$Q$391,17,0)</f>
        <v>137000</v>
      </c>
      <c r="U409" s="95">
        <v>124000</v>
      </c>
      <c r="V409" s="111">
        <v>1</v>
      </c>
      <c r="W409" s="111">
        <v>1</v>
      </c>
    </row>
    <row r="410" spans="2:23" ht="15">
      <c r="B410" s="92">
        <v>1621300110</v>
      </c>
      <c r="C410" s="93" t="str">
        <f t="shared" si="88"/>
        <v>110</v>
      </c>
      <c r="D410" s="93" t="str">
        <f t="shared" si="94"/>
        <v>621300</v>
      </c>
      <c r="E410" s="93" t="s">
        <v>353</v>
      </c>
      <c r="F410" s="94"/>
      <c r="G410" s="94"/>
      <c r="H410" s="94"/>
      <c r="I410" s="94"/>
      <c r="J410" s="95"/>
      <c r="K410" s="95"/>
      <c r="L410" s="95"/>
      <c r="M410" s="95"/>
      <c r="N410" s="95"/>
      <c r="O410" s="95"/>
      <c r="P410" s="95">
        <f>VLOOKUP(B:B,'[3]תשלומים 2017'!B:R,15,0)</f>
        <v>142000</v>
      </c>
      <c r="Q410" s="95">
        <f>VLOOKUP(B:B,'[3]דוח כספי 10.17 מעודכן'!A:D,4,0)</f>
        <v>130477.56</v>
      </c>
      <c r="R410" s="95">
        <f>VLOOKUP(B:B,'[3]תשלומים 2017'!B:T,17,0)</f>
        <v>172000</v>
      </c>
      <c r="S410" s="95">
        <f>Q410/9*12</f>
        <v>173970.08</v>
      </c>
      <c r="T410" s="95">
        <f>VLOOKUP('פירוט תקציב 2017 ו 2018'!B410,'תשלומים 2017'!$A$2:$Q$391,17,0)</f>
        <v>172000</v>
      </c>
      <c r="U410" s="95">
        <v>190000</v>
      </c>
      <c r="V410" s="111">
        <v>1</v>
      </c>
      <c r="W410" s="111">
        <v>1</v>
      </c>
    </row>
    <row r="411" spans="2:23" ht="15">
      <c r="B411" s="92">
        <v>1621300521</v>
      </c>
      <c r="C411" s="109" t="str">
        <f t="shared" si="88"/>
        <v>521</v>
      </c>
      <c r="D411" s="109" t="str">
        <f t="shared" si="94"/>
        <v>621300</v>
      </c>
      <c r="E411" s="93" t="s">
        <v>357</v>
      </c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>
        <f>VLOOKUP(B:B,'[3]תשלומים 2017'!B:R,15,0)</f>
        <v>4000</v>
      </c>
      <c r="Q411" s="95">
        <f>VLOOKUP(B:B,'[3]דוח כספי 10.17 מעודכן'!A:D,4,0)</f>
        <v>0</v>
      </c>
      <c r="R411" s="95">
        <f>VLOOKUP(B:B,'[3]תשלומים 2017'!B:T,17,0)</f>
        <v>0</v>
      </c>
      <c r="S411" s="95">
        <f>Q411/10*12</f>
        <v>0</v>
      </c>
      <c r="T411" s="95">
        <f>VLOOKUP('פירוט תקציב 2017 ו 2018'!B411,'תשלומים 2017'!$A$2:$Q$391,17,0)</f>
        <v>0</v>
      </c>
      <c r="U411" s="95">
        <v>0</v>
      </c>
      <c r="V411" s="110"/>
      <c r="W411" s="110"/>
    </row>
    <row r="412" spans="2:23" ht="15">
      <c r="B412" s="92">
        <v>1621300570</v>
      </c>
      <c r="C412" s="109" t="str">
        <f t="shared" si="88"/>
        <v>570</v>
      </c>
      <c r="D412" s="109" t="str">
        <f t="shared" si="94"/>
        <v>621300</v>
      </c>
      <c r="E412" s="93" t="s">
        <v>407</v>
      </c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103">
        <f>VLOOKUP(B:B,'[3]תשלומים 2017'!B:R,15,0)</f>
        <v>261000</v>
      </c>
      <c r="Q412" s="103">
        <f>VLOOKUP(B:B,'[3]דוח כספי 10.17 מעודכן'!A:D,4,0)</f>
        <v>228885.87</v>
      </c>
      <c r="R412" s="103">
        <f>VLOOKUP(B:B,'[3]תשלומים 2017'!B:T,17,0)</f>
        <v>305000</v>
      </c>
      <c r="S412" s="103">
        <f>Q412/10*12</f>
        <v>274663.04399999999</v>
      </c>
      <c r="T412" s="95">
        <f>VLOOKUP('פירוט תקציב 2017 ו 2018'!B412,'תשלומים 2017'!$A$2:$Q$391,17,0)</f>
        <v>305000</v>
      </c>
      <c r="U412" s="103">
        <v>275000</v>
      </c>
      <c r="V412" s="110"/>
      <c r="W412" s="110"/>
    </row>
    <row r="413" spans="2:23" ht="15">
      <c r="B413" s="92">
        <v>1621500110</v>
      </c>
      <c r="C413" s="93" t="str">
        <f t="shared" si="88"/>
        <v>110</v>
      </c>
      <c r="D413" s="93" t="str">
        <f t="shared" si="94"/>
        <v>621500</v>
      </c>
      <c r="E413" s="93" t="s">
        <v>408</v>
      </c>
      <c r="F413" s="94"/>
      <c r="G413" s="94"/>
      <c r="H413" s="94"/>
      <c r="I413" s="94"/>
      <c r="J413" s="95"/>
      <c r="K413" s="95"/>
      <c r="L413" s="95"/>
      <c r="M413" s="95"/>
      <c r="N413" s="95"/>
      <c r="O413" s="95"/>
      <c r="P413" s="95">
        <f>VLOOKUP(B:B,'[3]תשלומים 2017'!B:R,15,0)</f>
        <v>100000</v>
      </c>
      <c r="Q413" s="95">
        <f>VLOOKUP(B:B,'[3]דוח כספי 10.17 מעודכן'!A:D,4,0)</f>
        <v>74893.94</v>
      </c>
      <c r="R413" s="95">
        <f>VLOOKUP(B:B,'[3]תשלומים 2017'!B:T,17,0)</f>
        <v>100000</v>
      </c>
      <c r="S413" s="95">
        <f>Q413/9*12</f>
        <v>99858.58666666667</v>
      </c>
      <c r="T413" s="95">
        <f>VLOOKUP('פירוט תקציב 2017 ו 2018'!B413,'תשלומים 2017'!$A$2:$Q$391,17,0)</f>
        <v>100000</v>
      </c>
      <c r="U413" s="95">
        <v>100000</v>
      </c>
      <c r="V413" s="111">
        <v>1</v>
      </c>
      <c r="W413" s="111">
        <v>1</v>
      </c>
    </row>
    <row r="414" spans="2:23" ht="15">
      <c r="B414" s="18">
        <v>1621600110</v>
      </c>
      <c r="C414" s="117" t="str">
        <f t="shared" si="88"/>
        <v>110</v>
      </c>
      <c r="D414" s="117" t="str">
        <f t="shared" si="94"/>
        <v>621600</v>
      </c>
      <c r="E414" s="19" t="s">
        <v>409</v>
      </c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9">
        <f>VLOOKUP(B:B,'[3]תשלומים 2017'!B:R,15,0)</f>
        <v>0</v>
      </c>
      <c r="Q414" s="119">
        <f>VLOOKUP(B:B,'[3]דוח כספי 10.17 מעודכן'!A:D,4,0)</f>
        <v>0</v>
      </c>
      <c r="R414" s="119">
        <f>VLOOKUP(B:B,'[3]תשלומים 2017'!B:T,17,0)</f>
        <v>0</v>
      </c>
      <c r="S414" s="119">
        <f>Q414/9*12</f>
        <v>0</v>
      </c>
      <c r="T414" s="95">
        <f>VLOOKUP('פירוט תקציב 2017 ו 2018'!B414,'תשלומים 2017'!$A$2:$Q$391,17,0)</f>
        <v>0</v>
      </c>
      <c r="U414" s="119">
        <v>100000</v>
      </c>
      <c r="V414" s="120">
        <v>1</v>
      </c>
      <c r="W414" s="120">
        <v>1</v>
      </c>
    </row>
    <row r="415" spans="2:23" ht="15">
      <c r="B415" s="28"/>
      <c r="C415" s="29"/>
      <c r="D415" s="29"/>
      <c r="E415" s="29" t="s">
        <v>411</v>
      </c>
      <c r="F415" s="30" t="e">
        <f>SUM(#REF!)</f>
        <v>#REF!</v>
      </c>
      <c r="G415" s="30" t="e">
        <f>SUM(#REF!)</f>
        <v>#REF!</v>
      </c>
      <c r="H415" s="30" t="e">
        <f>SUM(#REF!)</f>
        <v>#REF!</v>
      </c>
      <c r="I415" s="30" t="e">
        <f>SUM(#REF!)</f>
        <v>#REF!</v>
      </c>
      <c r="J415" s="30" t="e">
        <f>SUM(#REF!)</f>
        <v>#REF!</v>
      </c>
      <c r="K415" s="30" t="e">
        <f>SUM(#REF!)</f>
        <v>#REF!</v>
      </c>
      <c r="L415" s="30" t="e">
        <f>SUM(#REF!)</f>
        <v>#REF!</v>
      </c>
      <c r="M415" s="30" t="e">
        <f>SUM(#REF!)</f>
        <v>#REF!</v>
      </c>
      <c r="N415" s="30" t="e">
        <f>SUM(#REF!)</f>
        <v>#REF!</v>
      </c>
      <c r="O415" s="30" t="e">
        <f>SUM(#REF!)</f>
        <v>#REF!</v>
      </c>
      <c r="P415" s="30">
        <f>SUM(P402:P414)</f>
        <v>1468000</v>
      </c>
      <c r="Q415" s="30">
        <f>SUM(Q402:Q414)</f>
        <v>1146825.44</v>
      </c>
      <c r="R415" s="30">
        <f>SUM(R402:R414)</f>
        <v>1545000</v>
      </c>
      <c r="S415" s="30">
        <f t="shared" ref="S415:W415" si="95">SUM(S402:S414)</f>
        <v>1485462.8706666669</v>
      </c>
      <c r="T415" s="30">
        <f>SUM(T402:T414)</f>
        <v>1552000</v>
      </c>
      <c r="U415" s="30">
        <f>SUM(U402:U414)</f>
        <v>1690000</v>
      </c>
      <c r="V415" s="112">
        <f>SUM(V402:V414)</f>
        <v>5</v>
      </c>
      <c r="W415" s="112">
        <f t="shared" si="95"/>
        <v>5.0199999999999996</v>
      </c>
    </row>
    <row r="416" spans="2:23" ht="15">
      <c r="B416" s="92">
        <v>1623000110</v>
      </c>
      <c r="C416" s="109" t="str">
        <f t="shared" si="88"/>
        <v>110</v>
      </c>
      <c r="D416" s="109" t="str">
        <f>MID(B416,2,6)</f>
        <v>623000</v>
      </c>
      <c r="E416" s="93" t="s">
        <v>353</v>
      </c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>
        <f>VLOOKUP(B:B,'[3]תשלומים 2017'!B:R,15,0)</f>
        <v>0</v>
      </c>
      <c r="Q416" s="95">
        <f>VLOOKUP(B:B,'[3]דוח כספי 10.17 מעודכן'!A:D,4,0)</f>
        <v>0</v>
      </c>
      <c r="R416" s="95">
        <f>VLOOKUP(B:B,'[3]תשלומים 2017'!B:T,17,0)</f>
        <v>0</v>
      </c>
      <c r="S416" s="95">
        <f>Q416/9*12</f>
        <v>0</v>
      </c>
      <c r="T416" s="95">
        <f>VLOOKUP('פירוט תקציב 2017 ו 2018'!B416,'תשלומים 2017'!$A$2:$Q$391,17,0)</f>
        <v>0</v>
      </c>
      <c r="U416" s="95">
        <v>0</v>
      </c>
      <c r="V416" s="110"/>
      <c r="W416" s="110"/>
    </row>
    <row r="417" spans="2:23" ht="15">
      <c r="B417" s="92">
        <v>1623000750</v>
      </c>
      <c r="C417" s="109" t="str">
        <f t="shared" si="88"/>
        <v>750</v>
      </c>
      <c r="D417" s="109" t="str">
        <f>MID(B417,2,6)</f>
        <v>623000</v>
      </c>
      <c r="E417" s="93" t="s">
        <v>412</v>
      </c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>
        <f>VLOOKUP(B:B,'[3]תשלומים 2017'!B:R,15,0)</f>
        <v>550000</v>
      </c>
      <c r="Q417" s="95">
        <f>VLOOKUP(B:B,'[3]דוח כספי 10.17 מעודכן'!A:D,4,0)</f>
        <v>355922.14</v>
      </c>
      <c r="R417" s="95">
        <f>VLOOKUP(B:B,'[3]תשלומים 2017'!B:T,17,0)</f>
        <v>550000</v>
      </c>
      <c r="S417" s="95">
        <f>Q417/10*12</f>
        <v>427106.56799999997</v>
      </c>
      <c r="T417" s="95">
        <f>VLOOKUP('פירוט תקציב 2017 ו 2018'!B417,'תשלומים 2017'!$A$2:$Q$391,17,0)</f>
        <v>550000</v>
      </c>
      <c r="U417" s="95">
        <v>350000</v>
      </c>
      <c r="V417" s="110"/>
      <c r="W417" s="110"/>
    </row>
    <row r="418" spans="2:23" ht="15">
      <c r="B418" s="92">
        <v>1623100110</v>
      </c>
      <c r="C418" s="109" t="str">
        <f t="shared" si="88"/>
        <v>110</v>
      </c>
      <c r="D418" s="109" t="str">
        <f>MID(B418,2,6)</f>
        <v>623100</v>
      </c>
      <c r="E418" s="93" t="s">
        <v>413</v>
      </c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>
        <f>VLOOKUP(B:B,'[3]תשלומים 2017'!B:R,15,0)</f>
        <v>67000</v>
      </c>
      <c r="Q418" s="95">
        <f>VLOOKUP(B:B,'[3]דוח כספי 10.17 מעודכן'!A:D,4,0)</f>
        <v>88423.46</v>
      </c>
      <c r="R418" s="95">
        <f>VLOOKUP(B:B,'[3]תשלומים 2017'!B:T,17,0)</f>
        <v>118000</v>
      </c>
      <c r="S418" s="95">
        <f>Q418/9*12</f>
        <v>117897.94666666667</v>
      </c>
      <c r="T418" s="95">
        <f>VLOOKUP('פירוט תקציב 2017 ו 2018'!B418,'תשלומים 2017'!$A$2:$Q$391,17,0)</f>
        <v>118000</v>
      </c>
      <c r="U418" s="95">
        <v>118000</v>
      </c>
      <c r="V418" s="96">
        <v>1</v>
      </c>
      <c r="W418" s="96">
        <v>1</v>
      </c>
    </row>
    <row r="419" spans="2:23" ht="15">
      <c r="B419" s="28"/>
      <c r="C419" s="29"/>
      <c r="D419" s="29"/>
      <c r="E419" s="29" t="s">
        <v>414</v>
      </c>
      <c r="F419" s="30" t="e">
        <f>SUM(#REF!)</f>
        <v>#REF!</v>
      </c>
      <c r="G419" s="30" t="e">
        <f>SUM(#REF!)</f>
        <v>#REF!</v>
      </c>
      <c r="H419" s="30" t="e">
        <f>SUM(#REF!)</f>
        <v>#REF!</v>
      </c>
      <c r="I419" s="30" t="e">
        <f>SUM(#REF!)</f>
        <v>#REF!</v>
      </c>
      <c r="J419" s="30" t="e">
        <f>SUM(#REF!)</f>
        <v>#REF!</v>
      </c>
      <c r="K419" s="30" t="e">
        <f>SUM(#REF!)</f>
        <v>#REF!</v>
      </c>
      <c r="L419" s="30" t="e">
        <f>SUM(#REF!)</f>
        <v>#REF!</v>
      </c>
      <c r="M419" s="30" t="e">
        <f>SUM(#REF!)</f>
        <v>#REF!</v>
      </c>
      <c r="N419" s="30" t="e">
        <f>SUM(#REF!)</f>
        <v>#REF!</v>
      </c>
      <c r="O419" s="30" t="e">
        <f>SUM(#REF!)</f>
        <v>#REF!</v>
      </c>
      <c r="P419" s="30">
        <f>SUM(P416:P418)</f>
        <v>617000</v>
      </c>
      <c r="Q419" s="30">
        <f>SUM(Q416:Q418)</f>
        <v>444345.60000000003</v>
      </c>
      <c r="R419" s="30">
        <f>SUM(R416:R418)</f>
        <v>668000</v>
      </c>
      <c r="S419" s="30">
        <f t="shared" ref="S419:W419" si="96">SUM(S416:S418)</f>
        <v>545004.51466666663</v>
      </c>
      <c r="T419" s="30">
        <f>SUM(T416:T418)</f>
        <v>668000</v>
      </c>
      <c r="U419" s="30">
        <f>SUM(U416:U418)</f>
        <v>468000</v>
      </c>
      <c r="V419" s="112">
        <f>SUM(V416:V418)</f>
        <v>1</v>
      </c>
      <c r="W419" s="112">
        <f t="shared" si="96"/>
        <v>1</v>
      </c>
    </row>
    <row r="420" spans="2:23" ht="15">
      <c r="B420" s="92">
        <v>1631000610</v>
      </c>
      <c r="C420" s="109" t="str">
        <f t="shared" si="88"/>
        <v>610</v>
      </c>
      <c r="D420" s="109" t="str">
        <f>MID(B420,2,6)</f>
        <v>631000</v>
      </c>
      <c r="E420" s="93" t="s">
        <v>415</v>
      </c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>
        <f>VLOOKUP(B:B,'[3]תשלומים 2017'!B:R,15,0)</f>
        <v>147000</v>
      </c>
      <c r="Q420" s="95">
        <f>VLOOKUP(B:B,'[3]דוח כספי 10.17 מעודכן'!A:D,4,0)</f>
        <v>135475.04</v>
      </c>
      <c r="R420" s="95">
        <f>VLOOKUP(B:B,'[3]תשלומים 2017'!B:T,17,0)</f>
        <v>163000</v>
      </c>
      <c r="S420" s="95">
        <f>Q420/10*12</f>
        <v>162570.04800000001</v>
      </c>
      <c r="T420" s="95">
        <f>VLOOKUP('פירוט תקציב 2017 ו 2018'!B420,'תשלומים 2017'!$A$2:$Q$391,17,0)</f>
        <v>163000</v>
      </c>
      <c r="U420" s="95">
        <v>165000</v>
      </c>
      <c r="V420" s="110"/>
      <c r="W420" s="110"/>
    </row>
    <row r="421" spans="2:23" ht="15">
      <c r="B421" s="92">
        <v>1632000620</v>
      </c>
      <c r="C421" s="109" t="str">
        <f t="shared" si="88"/>
        <v>620</v>
      </c>
      <c r="D421" s="109" t="str">
        <f>MID(B421,2,6)</f>
        <v>632000</v>
      </c>
      <c r="E421" s="93" t="s">
        <v>416</v>
      </c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>
        <f>VLOOKUP(B:B,'[3]תשלומים 2017'!B:R,15,0)</f>
        <v>3000</v>
      </c>
      <c r="Q421" s="95">
        <f>VLOOKUP(B:B,'[3]דוח כספי 10.17 מעודכן'!A:D,4,0)</f>
        <v>-929.32</v>
      </c>
      <c r="R421" s="95">
        <f>VLOOKUP(B:B,'[3]תשלומים 2017'!B:T,17,0)</f>
        <v>0</v>
      </c>
      <c r="S421" s="95">
        <f>Q421/10*12</f>
        <v>-1115.184</v>
      </c>
      <c r="T421" s="95">
        <f>VLOOKUP('פירוט תקציב 2017 ו 2018'!B421,'תשלומים 2017'!$A$2:$Q$391,17,0)</f>
        <v>0</v>
      </c>
      <c r="U421" s="95">
        <v>0</v>
      </c>
      <c r="V421" s="110"/>
      <c r="W421" s="110"/>
    </row>
    <row r="422" spans="2:23" ht="15">
      <c r="B422" s="28"/>
      <c r="C422" s="29"/>
      <c r="D422" s="29"/>
      <c r="E422" s="29" t="s">
        <v>417</v>
      </c>
      <c r="F422" s="30" t="e">
        <f>SUM(#REF!)</f>
        <v>#REF!</v>
      </c>
      <c r="G422" s="30" t="e">
        <f>SUM(#REF!)</f>
        <v>#REF!</v>
      </c>
      <c r="H422" s="30" t="e">
        <f>SUM(#REF!)</f>
        <v>#REF!</v>
      </c>
      <c r="I422" s="30" t="e">
        <f>SUM(#REF!)</f>
        <v>#REF!</v>
      </c>
      <c r="J422" s="30" t="e">
        <f>SUM(#REF!)</f>
        <v>#REF!</v>
      </c>
      <c r="K422" s="30" t="e">
        <f>SUM(#REF!)</f>
        <v>#REF!</v>
      </c>
      <c r="L422" s="30" t="e">
        <f>SUM(#REF!)</f>
        <v>#REF!</v>
      </c>
      <c r="M422" s="30" t="e">
        <f>SUM(#REF!)</f>
        <v>#REF!</v>
      </c>
      <c r="N422" s="30" t="e">
        <f>SUM(#REF!)</f>
        <v>#REF!</v>
      </c>
      <c r="O422" s="30" t="e">
        <f>SUM(#REF!)</f>
        <v>#REF!</v>
      </c>
      <c r="P422" s="30">
        <f>SUM(P420:P421)</f>
        <v>150000</v>
      </c>
      <c r="Q422" s="30">
        <f>SUM(Q420:Q421)</f>
        <v>134545.72</v>
      </c>
      <c r="R422" s="30">
        <f>SUM(R420:R421)</f>
        <v>163000</v>
      </c>
      <c r="S422" s="30">
        <f t="shared" ref="S422:W422" si="97">SUM(S420:S421)</f>
        <v>161454.864</v>
      </c>
      <c r="T422" s="30">
        <f>SUM(T420:T421)</f>
        <v>163000</v>
      </c>
      <c r="U422" s="30">
        <f>SUM(U420:U421)</f>
        <v>165000</v>
      </c>
      <c r="V422" s="31">
        <f t="shared" si="97"/>
        <v>0</v>
      </c>
      <c r="W422" s="31">
        <f t="shared" si="97"/>
        <v>0</v>
      </c>
    </row>
    <row r="423" spans="2:23" ht="15">
      <c r="B423" s="92">
        <v>1649100691</v>
      </c>
      <c r="C423" s="109" t="str">
        <f t="shared" si="88"/>
        <v>691</v>
      </c>
      <c r="D423" s="109" t="str">
        <f>MID(B423,2,6)</f>
        <v>649100</v>
      </c>
      <c r="E423" s="93" t="s">
        <v>418</v>
      </c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>
        <f>VLOOKUP(B:B,'[3]תשלומים 2017'!B:R,15,0)</f>
        <v>276000</v>
      </c>
      <c r="Q423" s="95">
        <f>VLOOKUP(B:B,'[3]דוח כספי 10.17 מעודכן'!A:D,4,0)</f>
        <v>248684.64</v>
      </c>
      <c r="R423" s="95">
        <f>VLOOKUP(B:B,'[3]תשלומים 2017'!B:T,17,0)</f>
        <v>276000</v>
      </c>
      <c r="S423" s="95">
        <f>Q423/9*12</f>
        <v>331579.52000000002</v>
      </c>
      <c r="T423" s="95">
        <f>VLOOKUP('פירוט תקציב 2017 ו 2018'!B423,'תשלומים 2017'!$A$2:$Q$391,17,0)</f>
        <v>276000</v>
      </c>
      <c r="U423" s="95">
        <v>284000</v>
      </c>
      <c r="V423" s="110"/>
      <c r="W423" s="110"/>
    </row>
    <row r="424" spans="2:23" ht="15">
      <c r="B424" s="92">
        <v>1649100692</v>
      </c>
      <c r="C424" s="109" t="str">
        <f t="shared" si="88"/>
        <v>692</v>
      </c>
      <c r="D424" s="109" t="str">
        <f>MID(B424,2,6)</f>
        <v>649100</v>
      </c>
      <c r="E424" s="93" t="s">
        <v>419</v>
      </c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>
        <f>VLOOKUP(B:B,'[3]תשלומים 2017'!B:R,15,0)</f>
        <v>80000</v>
      </c>
      <c r="Q424" s="95">
        <f>VLOOKUP(B:B,'[3]דוח כספי 10.17 מעודכן'!A:D,4,0)</f>
        <v>61123.63</v>
      </c>
      <c r="R424" s="95">
        <f>VLOOKUP(B:B,'[3]תשלומים 2017'!B:T,17,0)</f>
        <v>80000</v>
      </c>
      <c r="S424" s="95">
        <f>Q424/9*12</f>
        <v>81498.173333333325</v>
      </c>
      <c r="T424" s="95">
        <f>VLOOKUP('פירוט תקציב 2017 ו 2018'!B424,'תשלומים 2017'!$A$2:$Q$391,17,0)</f>
        <v>80000</v>
      </c>
      <c r="U424" s="95">
        <v>70000</v>
      </c>
      <c r="V424" s="110"/>
      <c r="W424" s="110"/>
    </row>
    <row r="425" spans="2:23" ht="15">
      <c r="B425" s="92">
        <v>1649100693</v>
      </c>
      <c r="C425" s="109" t="str">
        <f t="shared" si="88"/>
        <v>693</v>
      </c>
      <c r="D425" s="109" t="str">
        <f>MID(B425,2,6)</f>
        <v>649100</v>
      </c>
      <c r="E425" s="93" t="s">
        <v>420</v>
      </c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>
        <f>VLOOKUP(B:B,'[3]תשלומים 2017'!B:R,15,0)</f>
        <v>32000</v>
      </c>
      <c r="Q425" s="95">
        <f>VLOOKUP(B:B,'[3]דוח כספי 10.17 מעודכן'!A:D,4,0)</f>
        <v>31833.59</v>
      </c>
      <c r="R425" s="95">
        <f>VLOOKUP(B:B,'[3]תשלומים 2017'!B:T,17,0)</f>
        <v>32000</v>
      </c>
      <c r="S425" s="95">
        <f>Q425/9*12</f>
        <v>42444.786666666667</v>
      </c>
      <c r="T425" s="95">
        <f>VLOOKUP('פירוט תקציב 2017 ו 2018'!B425,'תשלומים 2017'!$A$2:$Q$391,17,0)</f>
        <v>32000</v>
      </c>
      <c r="U425" s="95">
        <v>32000</v>
      </c>
      <c r="V425" s="110"/>
      <c r="W425" s="110"/>
    </row>
    <row r="426" spans="2:23" ht="15">
      <c r="B426" s="28"/>
      <c r="C426" s="29"/>
      <c r="D426" s="29"/>
      <c r="E426" s="29" t="s">
        <v>421</v>
      </c>
      <c r="F426" s="30" t="e">
        <f>SUM(#REF!)</f>
        <v>#REF!</v>
      </c>
      <c r="G426" s="30" t="e">
        <f>SUM(#REF!)</f>
        <v>#REF!</v>
      </c>
      <c r="H426" s="30" t="e">
        <f>SUM(#REF!)</f>
        <v>#REF!</v>
      </c>
      <c r="I426" s="30" t="e">
        <f>SUM(#REF!)</f>
        <v>#REF!</v>
      </c>
      <c r="J426" s="30" t="e">
        <f>SUM(#REF!)</f>
        <v>#REF!</v>
      </c>
      <c r="K426" s="30" t="e">
        <f>SUM(#REF!)</f>
        <v>#REF!</v>
      </c>
      <c r="L426" s="30" t="e">
        <f>SUM(#REF!)</f>
        <v>#REF!</v>
      </c>
      <c r="M426" s="30" t="e">
        <f>SUM(#REF!)</f>
        <v>#REF!</v>
      </c>
      <c r="N426" s="30" t="e">
        <f>SUM(#REF!)</f>
        <v>#REF!</v>
      </c>
      <c r="O426" s="30" t="e">
        <f>SUM(#REF!)</f>
        <v>#REF!</v>
      </c>
      <c r="P426" s="30">
        <f>SUM(P423:P425)</f>
        <v>388000</v>
      </c>
      <c r="Q426" s="30">
        <f>SUM(Q423:Q425)</f>
        <v>341641.86000000004</v>
      </c>
      <c r="R426" s="30">
        <f>SUM(R423:R425)</f>
        <v>388000</v>
      </c>
      <c r="S426" s="30">
        <f t="shared" ref="S426:W426" si="98">SUM(S423:S425)</f>
        <v>455522.48000000004</v>
      </c>
      <c r="T426" s="30">
        <f>SUM(T423:T425)</f>
        <v>388000</v>
      </c>
      <c r="U426" s="30">
        <f>SUM(U423:U425)</f>
        <v>386000</v>
      </c>
      <c r="V426" s="31">
        <f t="shared" si="98"/>
        <v>0</v>
      </c>
      <c r="W426" s="31">
        <f t="shared" si="98"/>
        <v>0</v>
      </c>
    </row>
    <row r="427" spans="2:23" ht="15">
      <c r="B427" s="121"/>
      <c r="C427" s="122"/>
      <c r="D427" s="122"/>
      <c r="E427" s="33" t="s">
        <v>422</v>
      </c>
      <c r="F427" s="34" t="e">
        <f>F426+F422+F419+F415+F399+#REF!+F395+F375+F370</f>
        <v>#REF!</v>
      </c>
      <c r="G427" s="34" t="e">
        <f>G426+G422+G419+G415+G399+#REF!+G395+G375+G370</f>
        <v>#REF!</v>
      </c>
      <c r="H427" s="34" t="e">
        <f>H426+H422+H419+H415+H399+#REF!+H395+H375+H370</f>
        <v>#REF!</v>
      </c>
      <c r="I427" s="34" t="e">
        <f>I426+I422+I419+I415+I399+#REF!+I395+I375+I370</f>
        <v>#REF!</v>
      </c>
      <c r="J427" s="34" t="e">
        <f>J426+J422+J419+J415+J399+#REF!+J395+J375+J370</f>
        <v>#REF!</v>
      </c>
      <c r="K427" s="34" t="e">
        <f>K426+K422+K419+K415+K399+#REF!+K395+K375+K370</f>
        <v>#REF!</v>
      </c>
      <c r="L427" s="34" t="e">
        <f>L426+L422+L419+L415+L399+#REF!+L395+L375+L370</f>
        <v>#REF!</v>
      </c>
      <c r="M427" s="34" t="e">
        <f>M426+M422+M419+M415+M399+#REF!+M395+M375+M370</f>
        <v>#REF!</v>
      </c>
      <c r="N427" s="34" t="e">
        <f>N426+N422+N419+N415+N399+#REF!+N395+N375+N370</f>
        <v>#REF!</v>
      </c>
      <c r="O427" s="34" t="e">
        <f>O426+O422+O419+O415+O399+#REF!+O395+O375+O370</f>
        <v>#REF!</v>
      </c>
      <c r="P427" s="34">
        <f>P426+P422+P419+P415+P399++P395+P375+P370+P401</f>
        <v>7224000</v>
      </c>
      <c r="Q427" s="34">
        <f>Q426+Q422+Q419+Q415+Q399++Q395+Q375+Q370+Q401</f>
        <v>6182647.8899999997</v>
      </c>
      <c r="R427" s="34">
        <f>R426+R422+R419+R415+R399++R395+R375+R370+R401</f>
        <v>7818000</v>
      </c>
      <c r="S427" s="34">
        <f t="shared" ref="S427" si="99">S426+S422+S419+S415+S399++S395+S375+S370+S401</f>
        <v>7506195.8733333331</v>
      </c>
      <c r="T427" s="34">
        <f>T426+T422+T419+T415+T399++T395+T375+T370+T401</f>
        <v>7967000</v>
      </c>
      <c r="U427" s="34">
        <f>U426+U422+U419+U415+U399++U395+U375+U370+U401</f>
        <v>6408500</v>
      </c>
      <c r="V427" s="123">
        <f>V426+V422+V419+V415+V399++V395+V375+V370+V401</f>
        <v>11.7</v>
      </c>
      <c r="W427" s="123">
        <f>W426+W422+W419+W415+W399++W395+W375+W370+W401</f>
        <v>12.219999999999999</v>
      </c>
    </row>
    <row r="428" spans="2:23" ht="15">
      <c r="B428" s="86"/>
      <c r="C428" s="87" t="s">
        <v>423</v>
      </c>
      <c r="D428" s="87"/>
      <c r="E428" s="87"/>
      <c r="F428" s="87"/>
      <c r="G428" s="87"/>
      <c r="H428" s="87"/>
      <c r="I428" s="88"/>
      <c r="J428" s="95"/>
      <c r="K428" s="124"/>
      <c r="L428" s="124"/>
      <c r="M428" s="124"/>
      <c r="N428" s="124"/>
      <c r="O428" s="95">
        <v>0</v>
      </c>
      <c r="P428" s="124"/>
      <c r="Q428" s="124" t="e">
        <f>VLOOKUP(B:B,'[3]דוח כספי 10.17 מעודכן'!A:D,4,0)</f>
        <v>#N/A</v>
      </c>
      <c r="R428" s="124"/>
      <c r="S428" s="124"/>
      <c r="T428" s="124"/>
      <c r="U428" s="124"/>
      <c r="V428" s="89"/>
      <c r="W428" s="89"/>
    </row>
    <row r="429" spans="2:23" ht="15">
      <c r="B429" s="92">
        <v>1711000540</v>
      </c>
      <c r="C429" s="109" t="str">
        <f t="shared" ref="C429:C474" si="100">MID(B429,8,3)</f>
        <v>540</v>
      </c>
      <c r="D429" s="109" t="str">
        <f t="shared" ref="D429:D439" si="101">MID(B429,2,6)</f>
        <v>711000</v>
      </c>
      <c r="E429" s="93" t="s">
        <v>424</v>
      </c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>
        <f>VLOOKUP(B:B,'[3]תשלומים 2017'!B:R,15,0)</f>
        <v>0</v>
      </c>
      <c r="Q429" s="95">
        <f>VLOOKUP(B:B,'[3]דוח כספי 10.17 מעודכן'!A:D,4,0)</f>
        <v>0</v>
      </c>
      <c r="R429" s="95">
        <f>VLOOKUP(B:B,'[3]תשלומים 2017'!B:T,17,0)</f>
        <v>0</v>
      </c>
      <c r="S429" s="95">
        <v>0</v>
      </c>
      <c r="T429" s="95">
        <f>VLOOKUP('פירוט תקציב 2017 ו 2018'!B429,'תשלומים 2017'!$A$2:$Q$391,17,0)</f>
        <v>0</v>
      </c>
      <c r="U429" s="95">
        <v>0</v>
      </c>
      <c r="V429" s="110"/>
      <c r="W429" s="110"/>
    </row>
    <row r="430" spans="2:23" ht="15">
      <c r="B430" s="92">
        <v>1712200110</v>
      </c>
      <c r="C430" s="109" t="str">
        <f t="shared" si="100"/>
        <v>110</v>
      </c>
      <c r="D430" s="109" t="str">
        <f t="shared" si="101"/>
        <v>712200</v>
      </c>
      <c r="E430" s="93" t="s">
        <v>353</v>
      </c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>
        <f>VLOOKUP(B:B,'[3]תשלומים 2017'!B:R,15,0)</f>
        <v>0</v>
      </c>
      <c r="Q430" s="95">
        <f>VLOOKUP(B:B,'[3]דוח כספי 10.17 מעודכן'!A:D,4,0)</f>
        <v>18437.669999999998</v>
      </c>
      <c r="R430" s="95">
        <f>VLOOKUP(B:B,'[3]תשלומים 2017'!B:T,17,0)</f>
        <v>40000</v>
      </c>
      <c r="S430" s="95">
        <f>Q430/9*12</f>
        <v>24583.559999999998</v>
      </c>
      <c r="T430" s="95">
        <f>VLOOKUP('פירוט תקציב 2017 ו 2018'!B430,'תשלומים 2017'!$A$2:$Q$391,17,0)</f>
        <v>40000</v>
      </c>
      <c r="U430" s="95">
        <v>77000</v>
      </c>
      <c r="V430" s="96">
        <v>0.94</v>
      </c>
      <c r="W430" s="96">
        <v>0.94</v>
      </c>
    </row>
    <row r="431" spans="2:23" ht="15">
      <c r="B431" s="92">
        <v>1712200750</v>
      </c>
      <c r="C431" s="109" t="str">
        <f t="shared" si="100"/>
        <v>750</v>
      </c>
      <c r="D431" s="109" t="str">
        <f t="shared" si="101"/>
        <v>712200</v>
      </c>
      <c r="E431" s="93" t="s">
        <v>402</v>
      </c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>
        <f>VLOOKUP(B:B,'[3]תשלומים 2017'!B:R,15,0)</f>
        <v>0</v>
      </c>
      <c r="Q431" s="95">
        <f>VLOOKUP(B:B,'[3]דוח כספי 10.17 מעודכן'!A:D,4,0)</f>
        <v>0</v>
      </c>
      <c r="R431" s="95">
        <f>VLOOKUP(B:B,'[3]תשלומים 2017'!B:T,17,0)</f>
        <v>0</v>
      </c>
      <c r="S431" s="95">
        <v>0</v>
      </c>
      <c r="T431" s="95">
        <f>VLOOKUP('פירוט תקציב 2017 ו 2018'!B431,'תשלומים 2017'!$A$2:$Q$391,17,0)</f>
        <v>0</v>
      </c>
      <c r="U431" s="95">
        <v>0</v>
      </c>
      <c r="V431" s="110"/>
      <c r="W431" s="110"/>
    </row>
    <row r="432" spans="2:23" ht="15">
      <c r="B432" s="92">
        <v>1712220750</v>
      </c>
      <c r="C432" s="109" t="str">
        <f t="shared" si="100"/>
        <v>750</v>
      </c>
      <c r="D432" s="109" t="str">
        <f t="shared" si="101"/>
        <v>712220</v>
      </c>
      <c r="E432" s="93" t="s">
        <v>425</v>
      </c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>
        <f>VLOOKUP(B:B,'[3]תשלומים 2017'!B:R,15,0)</f>
        <v>1000</v>
      </c>
      <c r="Q432" s="95">
        <f>VLOOKUP(B:B,'[3]דוח כספי 10.17 מעודכן'!A:D,4,0)</f>
        <v>0</v>
      </c>
      <c r="R432" s="95">
        <f>VLOOKUP(B:B,'[3]תשלומים 2017'!B:T,17,0)</f>
        <v>0</v>
      </c>
      <c r="S432" s="95">
        <f>Q432/10*12</f>
        <v>0</v>
      </c>
      <c r="T432" s="95">
        <f>VLOOKUP('פירוט תקציב 2017 ו 2018'!B432,'תשלומים 2017'!$A$2:$Q$391,17,0)</f>
        <v>0</v>
      </c>
      <c r="U432" s="95">
        <v>0</v>
      </c>
      <c r="V432" s="110"/>
      <c r="W432" s="110"/>
    </row>
    <row r="433" spans="2:23" ht="15">
      <c r="B433" s="92">
        <v>1712300750</v>
      </c>
      <c r="C433" s="109" t="str">
        <f t="shared" si="100"/>
        <v>750</v>
      </c>
      <c r="D433" s="109" t="str">
        <f t="shared" si="101"/>
        <v>712300</v>
      </c>
      <c r="E433" s="93" t="s">
        <v>426</v>
      </c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>
        <f>VLOOKUP(B:B,'[3]תשלומים 2017'!B:R,15,0)</f>
        <v>3075000</v>
      </c>
      <c r="Q433" s="95">
        <f>VLOOKUP(B:B,'[3]דוח כספי 10.17 מעודכן'!A:D,4,0)</f>
        <v>2599963</v>
      </c>
      <c r="R433" s="95">
        <v>3075000</v>
      </c>
      <c r="S433" s="95">
        <f>Q433/10*12</f>
        <v>3119955.5999999996</v>
      </c>
      <c r="T433" s="95">
        <f>VLOOKUP('פירוט תקציב 2017 ו 2018'!B433,'תשלומים 2017'!$A$2:$Q$391,17,0)</f>
        <v>3115000</v>
      </c>
      <c r="U433" s="95">
        <v>3075000</v>
      </c>
      <c r="V433" s="110"/>
      <c r="W433" s="110"/>
    </row>
    <row r="434" spans="2:23" ht="15">
      <c r="B434" s="92">
        <v>1712300932</v>
      </c>
      <c r="C434" s="109" t="str">
        <f t="shared" si="100"/>
        <v>932</v>
      </c>
      <c r="D434" s="109" t="str">
        <f t="shared" si="101"/>
        <v>712300</v>
      </c>
      <c r="E434" s="93" t="s">
        <v>427</v>
      </c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>
        <f>VLOOKUP(B:B,'[3]תשלומים 2017'!B:R,15,0)</f>
        <v>4000</v>
      </c>
      <c r="Q434" s="95">
        <f>VLOOKUP(B:B,'[3]דוח כספי 10.17 מעודכן'!A:D,4,0)</f>
        <v>0</v>
      </c>
      <c r="R434" s="95">
        <f>VLOOKUP(B:B,'[3]תשלומים 2017'!B:T,17,0)</f>
        <v>0</v>
      </c>
      <c r="S434" s="95">
        <f>Q434/10*12</f>
        <v>0</v>
      </c>
      <c r="T434" s="95">
        <f>VLOOKUP('פירוט תקציב 2017 ו 2018'!B434,'תשלומים 2017'!$A$2:$Q$391,17,0)</f>
        <v>0</v>
      </c>
      <c r="U434" s="95">
        <v>0</v>
      </c>
      <c r="V434" s="110"/>
      <c r="W434" s="110"/>
    </row>
    <row r="435" spans="2:23" ht="15">
      <c r="B435" s="92">
        <v>1713000110</v>
      </c>
      <c r="C435" s="109" t="str">
        <f t="shared" si="100"/>
        <v>110</v>
      </c>
      <c r="D435" s="109" t="str">
        <f t="shared" si="101"/>
        <v>713000</v>
      </c>
      <c r="E435" s="93" t="s">
        <v>428</v>
      </c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>
        <f>VLOOKUP(B:B,'[3]תשלומים 2017'!B:R,15,0)</f>
        <v>119000</v>
      </c>
      <c r="Q435" s="95">
        <f>VLOOKUP(B:B,'[3]דוח כספי 10.17 מעודכן'!A:D,4,0)</f>
        <v>95474.29</v>
      </c>
      <c r="R435" s="95">
        <f>VLOOKUP(B:B,'[3]תשלומים 2017'!B:T,17,0)</f>
        <v>127000</v>
      </c>
      <c r="S435" s="95">
        <f>Q435/9*12</f>
        <v>127299.05333333332</v>
      </c>
      <c r="T435" s="95">
        <f>VLOOKUP('פירוט תקציב 2017 ו 2018'!B435,'תשלומים 2017'!$A$2:$Q$391,17,0)</f>
        <v>127000</v>
      </c>
      <c r="U435" s="95">
        <v>127000</v>
      </c>
      <c r="V435" s="96">
        <v>1</v>
      </c>
      <c r="W435" s="96">
        <v>1</v>
      </c>
    </row>
    <row r="436" spans="2:23" ht="15">
      <c r="B436" s="92">
        <v>1713100830</v>
      </c>
      <c r="C436" s="109" t="str">
        <f t="shared" si="100"/>
        <v>830</v>
      </c>
      <c r="D436" s="109" t="str">
        <f t="shared" si="101"/>
        <v>713100</v>
      </c>
      <c r="E436" s="93" t="s">
        <v>429</v>
      </c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>
        <f>VLOOKUP(B:B,'[3]תשלומים 2017'!B:R,15,0)</f>
        <v>40000</v>
      </c>
      <c r="Q436" s="95">
        <f>VLOOKUP(B:B,'[3]דוח כספי 10.17 מעודכן'!A:D,4,0)</f>
        <v>22144</v>
      </c>
      <c r="R436" s="95">
        <f>VLOOKUP(B:B,'[3]תשלומים 2017'!B:T,17,0)</f>
        <v>40000</v>
      </c>
      <c r="S436" s="95">
        <f>Q436/10*12</f>
        <v>26572.800000000003</v>
      </c>
      <c r="T436" s="95">
        <f>VLOOKUP('פירוט תקציב 2017 ו 2018'!B436,'תשלומים 2017'!$A$2:$Q$391,17,0)</f>
        <v>40000</v>
      </c>
      <c r="U436" s="95">
        <v>27000</v>
      </c>
      <c r="V436" s="110"/>
      <c r="W436" s="110"/>
    </row>
    <row r="437" spans="2:23" ht="15">
      <c r="B437" s="92">
        <v>1714200830</v>
      </c>
      <c r="C437" s="109" t="str">
        <f t="shared" si="100"/>
        <v>830</v>
      </c>
      <c r="D437" s="109" t="str">
        <f t="shared" si="101"/>
        <v>714200</v>
      </c>
      <c r="E437" s="93" t="s">
        <v>430</v>
      </c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>
        <f>VLOOKUP(B:B,'[3]תשלומים 2017'!B:R,15,0)</f>
        <v>80000</v>
      </c>
      <c r="Q437" s="95">
        <f>VLOOKUP(B:B,'[3]דוח כספי 10.17 מעודכן'!A:D,4,0)</f>
        <v>100968.5</v>
      </c>
      <c r="R437" s="95">
        <f>VLOOKUP(B:B,'[3]תשלומים 2017'!B:T,17,0)</f>
        <v>80000</v>
      </c>
      <c r="S437" s="95">
        <f>Q437/10*12</f>
        <v>121162.20000000001</v>
      </c>
      <c r="T437" s="95">
        <f>VLOOKUP('פירוט תקציב 2017 ו 2018'!B437,'תשלומים 2017'!$A$2:$Q$391,17,0)</f>
        <v>80000</v>
      </c>
      <c r="U437" s="95">
        <v>121000</v>
      </c>
      <c r="V437" s="110"/>
      <c r="W437" s="110"/>
    </row>
    <row r="438" spans="2:23" ht="15">
      <c r="B438" s="92">
        <v>1715000720</v>
      </c>
      <c r="C438" s="109" t="str">
        <f t="shared" si="100"/>
        <v>720</v>
      </c>
      <c r="D438" s="109" t="str">
        <f t="shared" si="101"/>
        <v>715000</v>
      </c>
      <c r="E438" s="93" t="s">
        <v>431</v>
      </c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>
        <f>VLOOKUP(B:B,'[3]תשלומים 2017'!B:R,15,0)</f>
        <v>5000</v>
      </c>
      <c r="Q438" s="95">
        <f>VLOOKUP(B:B,'[3]דוח כספי 10.17 מעודכן'!A:D,4,0)</f>
        <v>3907.8</v>
      </c>
      <c r="R438" s="95">
        <f>VLOOKUP(B:B,'[3]תשלומים 2017'!B:T,17,0)</f>
        <v>5000</v>
      </c>
      <c r="S438" s="95">
        <f>Q438/10*12</f>
        <v>4689.3600000000006</v>
      </c>
      <c r="T438" s="95">
        <f>VLOOKUP('פירוט תקציב 2017 ו 2018'!B438,'תשלומים 2017'!$A$2:$Q$391,17,0)</f>
        <v>5000</v>
      </c>
      <c r="U438" s="95">
        <v>5000</v>
      </c>
      <c r="V438" s="110"/>
      <c r="W438" s="110"/>
    </row>
    <row r="439" spans="2:23" ht="15">
      <c r="B439" s="100">
        <v>1715000840</v>
      </c>
      <c r="C439" s="101" t="str">
        <f t="shared" si="100"/>
        <v>840</v>
      </c>
      <c r="D439" s="101" t="str">
        <f t="shared" si="101"/>
        <v>715000</v>
      </c>
      <c r="E439" s="102" t="s">
        <v>432</v>
      </c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>
        <f>VLOOKUP(B:B,'[3]תשלומים 2017'!B:R,15,0)</f>
        <v>94000</v>
      </c>
      <c r="Q439" s="103">
        <f>VLOOKUP(B:B,'[3]דוח כספי 10.17 מעודכן'!A:D,4,0)</f>
        <v>0</v>
      </c>
      <c r="R439" s="103">
        <f>VLOOKUP(B:B,'[3]תשלומים 2017'!B:T,17,0)</f>
        <v>94000</v>
      </c>
      <c r="S439" s="103">
        <f>Q439/10*12</f>
        <v>0</v>
      </c>
      <c r="T439" s="95">
        <f>VLOOKUP('פירוט תקציב 2017 ו 2018'!B439,'תשלומים 2017'!$A$2:$Q$391,17,0)</f>
        <v>94000</v>
      </c>
      <c r="U439" s="103">
        <v>0</v>
      </c>
      <c r="V439" s="104"/>
      <c r="W439" s="104"/>
    </row>
    <row r="440" spans="2:23" ht="15">
      <c r="B440" s="28"/>
      <c r="C440" s="29"/>
      <c r="D440" s="29"/>
      <c r="E440" s="29" t="s">
        <v>433</v>
      </c>
      <c r="F440" s="30" t="e">
        <f>SUM(#REF!)</f>
        <v>#REF!</v>
      </c>
      <c r="G440" s="30" t="e">
        <f>SUM(#REF!)</f>
        <v>#REF!</v>
      </c>
      <c r="H440" s="30" t="e">
        <f>SUM(#REF!)</f>
        <v>#REF!</v>
      </c>
      <c r="I440" s="30" t="e">
        <f>SUM(#REF!)</f>
        <v>#REF!</v>
      </c>
      <c r="J440" s="30" t="e">
        <f>SUM(#REF!)</f>
        <v>#REF!</v>
      </c>
      <c r="K440" s="30" t="e">
        <f>SUM(#REF!)</f>
        <v>#REF!</v>
      </c>
      <c r="L440" s="30" t="e">
        <f>SUM(#REF!)</f>
        <v>#REF!</v>
      </c>
      <c r="M440" s="30" t="e">
        <f>SUM(#REF!)</f>
        <v>#REF!</v>
      </c>
      <c r="N440" s="30" t="e">
        <f>SUM(#REF!)</f>
        <v>#REF!</v>
      </c>
      <c r="O440" s="30" t="e">
        <f>SUM(#REF!)</f>
        <v>#REF!</v>
      </c>
      <c r="P440" s="30">
        <f t="shared" ref="P440:S440" si="102">SUM(P429:P439)</f>
        <v>3418000</v>
      </c>
      <c r="Q440" s="30">
        <f t="shared" si="102"/>
        <v>2840895.26</v>
      </c>
      <c r="R440" s="30">
        <f t="shared" si="102"/>
        <v>3461000</v>
      </c>
      <c r="S440" s="30">
        <f t="shared" si="102"/>
        <v>3424262.5733333328</v>
      </c>
      <c r="T440" s="30">
        <f>SUM(T429:T439)</f>
        <v>3501000</v>
      </c>
      <c r="U440" s="30">
        <f>SUM(U429:U439)</f>
        <v>3432000</v>
      </c>
      <c r="V440" s="31">
        <f>SUM(V429:V439)</f>
        <v>1.94</v>
      </c>
      <c r="W440" s="31">
        <f>SUM(W429:W439)</f>
        <v>1.94</v>
      </c>
    </row>
    <row r="441" spans="2:23" ht="15">
      <c r="B441" s="92">
        <v>1722000930</v>
      </c>
      <c r="C441" s="109" t="str">
        <f t="shared" si="100"/>
        <v>930</v>
      </c>
      <c r="D441" s="109" t="str">
        <f>MID(B441,2,6)</f>
        <v>722000</v>
      </c>
      <c r="E441" s="93" t="s">
        <v>434</v>
      </c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>
        <f>VLOOKUP(B:B,'[3]תשלומים 2017'!B:R,15,0)</f>
        <v>11000</v>
      </c>
      <c r="Q441" s="95">
        <f>VLOOKUP(B:B,'[3]דוח כספי 10.17 מעודכן'!A:D,4,0)</f>
        <v>-1643.85</v>
      </c>
      <c r="R441" s="95">
        <f>VLOOKUP(B:B,'[3]תשלומים 2017'!B:T,17,0)</f>
        <v>0</v>
      </c>
      <c r="S441" s="95">
        <v>0</v>
      </c>
      <c r="T441" s="95">
        <f>VLOOKUP('פירוט תקציב 2017 ו 2018'!B441,'תשלומים 2017'!$A$2:$Q$391,17,0)</f>
        <v>0</v>
      </c>
      <c r="U441" s="95">
        <v>0</v>
      </c>
      <c r="V441" s="110"/>
      <c r="W441" s="110"/>
    </row>
    <row r="442" spans="2:23" ht="15">
      <c r="B442" s="100">
        <v>1724000591</v>
      </c>
      <c r="C442" s="101" t="str">
        <f t="shared" si="100"/>
        <v>591</v>
      </c>
      <c r="D442" s="101" t="str">
        <f>MID(B442,2,6)</f>
        <v>724000</v>
      </c>
      <c r="E442" s="102" t="s">
        <v>435</v>
      </c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>
        <f>VLOOKUP(B:B,'[3]תשלומים 2017'!B:R,15,0)</f>
        <v>0</v>
      </c>
      <c r="Q442" s="103">
        <f>VLOOKUP(B:B,'[3]דוח כספי 10.17 מעודכן'!A:D,4,0)</f>
        <v>0</v>
      </c>
      <c r="R442" s="103">
        <f>VLOOKUP(B:B,'[3]תשלומים 2017'!B:T,17,0)</f>
        <v>36000</v>
      </c>
      <c r="S442" s="103">
        <f>Q442/10*12</f>
        <v>0</v>
      </c>
      <c r="T442" s="95">
        <f>VLOOKUP('פירוט תקציב 2017 ו 2018'!B442,'תשלומים 2017'!$A$2:$Q$391,17,0)</f>
        <v>36000</v>
      </c>
      <c r="U442" s="103">
        <v>128000</v>
      </c>
      <c r="V442" s="104"/>
      <c r="W442" s="104"/>
    </row>
    <row r="443" spans="2:23" ht="15">
      <c r="B443" s="100">
        <v>1724000810</v>
      </c>
      <c r="C443" s="101" t="str">
        <f t="shared" si="100"/>
        <v>810</v>
      </c>
      <c r="D443" s="101" t="str">
        <f>MID(B443,2,6)</f>
        <v>724000</v>
      </c>
      <c r="E443" s="102" t="s">
        <v>435</v>
      </c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>
        <f>VLOOKUP(B:B,'[3]תשלומים 2017'!B:R,15,0)</f>
        <v>107000</v>
      </c>
      <c r="Q443" s="103">
        <f>VLOOKUP(B:B,'[3]דוח כספי 10.17 מעודכן'!A:D,4,0)</f>
        <v>164500.5</v>
      </c>
      <c r="R443" s="103">
        <f>VLOOKUP(B:B,'[3]תשלומים 2017'!B:T,17,0)</f>
        <v>128000</v>
      </c>
      <c r="S443" s="103">
        <f>Q443/10*12</f>
        <v>197400.59999999998</v>
      </c>
      <c r="T443" s="95">
        <f>VLOOKUP('פירוט תקציב 2017 ו 2018'!B443,'תשלומים 2017'!$A$2:$Q$391,17,0)</f>
        <v>128000</v>
      </c>
      <c r="U443" s="103">
        <v>0</v>
      </c>
      <c r="V443" s="104"/>
      <c r="W443" s="104"/>
    </row>
    <row r="444" spans="2:23" ht="15">
      <c r="B444" s="28"/>
      <c r="C444" s="29"/>
      <c r="D444" s="29"/>
      <c r="E444" s="29" t="s">
        <v>436</v>
      </c>
      <c r="F444" s="30" t="e">
        <f>SUM(#REF!)</f>
        <v>#REF!</v>
      </c>
      <c r="G444" s="30" t="e">
        <f>SUM(#REF!)</f>
        <v>#REF!</v>
      </c>
      <c r="H444" s="30" t="e">
        <f>SUM(#REF!)</f>
        <v>#REF!</v>
      </c>
      <c r="I444" s="30" t="e">
        <f>SUM(#REF!)</f>
        <v>#REF!</v>
      </c>
      <c r="J444" s="30" t="e">
        <f>SUM(#REF!)</f>
        <v>#REF!</v>
      </c>
      <c r="K444" s="30" t="e">
        <f>SUM(#REF!)</f>
        <v>#REF!</v>
      </c>
      <c r="L444" s="30" t="e">
        <f>SUM(#REF!)</f>
        <v>#REF!</v>
      </c>
      <c r="M444" s="30" t="e">
        <f>SUM(#REF!)</f>
        <v>#REF!</v>
      </c>
      <c r="N444" s="30" t="e">
        <f>SUM(#REF!)</f>
        <v>#REF!</v>
      </c>
      <c r="O444" s="30" t="e">
        <f>SUM(#REF!)</f>
        <v>#REF!</v>
      </c>
      <c r="P444" s="30">
        <f t="shared" ref="P444:S444" si="103">SUM(P441:P443)</f>
        <v>118000</v>
      </c>
      <c r="Q444" s="30">
        <f t="shared" si="103"/>
        <v>162856.65</v>
      </c>
      <c r="R444" s="30">
        <f t="shared" si="103"/>
        <v>164000</v>
      </c>
      <c r="S444" s="30">
        <f t="shared" si="103"/>
        <v>197400.59999999998</v>
      </c>
      <c r="T444" s="30">
        <f>SUM(T441:T443)</f>
        <v>164000</v>
      </c>
      <c r="U444" s="30">
        <f>SUM(U441:U443)</f>
        <v>128000</v>
      </c>
      <c r="V444" s="31">
        <f t="shared" ref="V444:W444" si="104">SUM(V441:V443)</f>
        <v>0</v>
      </c>
      <c r="W444" s="31">
        <f t="shared" si="104"/>
        <v>0</v>
      </c>
    </row>
    <row r="445" spans="2:23" ht="15">
      <c r="B445" s="92">
        <v>1731000110</v>
      </c>
      <c r="C445" s="109" t="str">
        <f t="shared" si="100"/>
        <v>110</v>
      </c>
      <c r="D445" s="109" t="str">
        <f t="shared" ref="D445:D452" si="105">MID(B445,2,6)</f>
        <v>731000</v>
      </c>
      <c r="E445" s="93" t="s">
        <v>437</v>
      </c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>
        <f>VLOOKUP(B:B,'[3]תשלומים 2017'!B:R,15,0)</f>
        <v>463000</v>
      </c>
      <c r="Q445" s="95">
        <f>VLOOKUP(B:B,'[3]דוח כספי 10.17 מעודכן'!A:D,4,0)</f>
        <v>208223.21</v>
      </c>
      <c r="R445" s="95">
        <f>VLOOKUP(B:B,'[3]תשלומים 2017'!B:T,17,0)</f>
        <v>250000</v>
      </c>
      <c r="S445" s="95">
        <f>Q445/9*12</f>
        <v>277630.94666666666</v>
      </c>
      <c r="T445" s="95">
        <f>VLOOKUP('פירוט תקציב 2017 ו 2018'!B445,'תשלומים 2017'!$A$2:$Q$391,17,0)</f>
        <v>250000</v>
      </c>
      <c r="U445" s="126">
        <v>450000</v>
      </c>
      <c r="V445" s="96">
        <v>0</v>
      </c>
      <c r="W445" s="96">
        <v>1</v>
      </c>
    </row>
    <row r="446" spans="2:23" ht="15">
      <c r="B446" s="92">
        <v>1731000540</v>
      </c>
      <c r="C446" s="109" t="str">
        <f t="shared" si="100"/>
        <v>540</v>
      </c>
      <c r="D446" s="109" t="str">
        <f t="shared" si="105"/>
        <v>731000</v>
      </c>
      <c r="E446" s="93" t="s">
        <v>438</v>
      </c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>
        <f>VLOOKUP(B:B,'[3]תשלומים 2017'!B:R,15,0)</f>
        <v>3000</v>
      </c>
      <c r="Q446" s="95">
        <f>VLOOKUP(B:B,'[3]דוח כספי 10.17 מעודכן'!A:D,4,0)</f>
        <v>0</v>
      </c>
      <c r="R446" s="95">
        <f>VLOOKUP(B:B,'[3]תשלומים 2017'!B:T,17,0)</f>
        <v>0</v>
      </c>
      <c r="S446" s="95">
        <f>Q446/10*12</f>
        <v>0</v>
      </c>
      <c r="T446" s="95">
        <f>VLOOKUP('פירוט תקציב 2017 ו 2018'!B446,'תשלומים 2017'!$A$2:$Q$391,17,0)</f>
        <v>0</v>
      </c>
      <c r="U446" s="95">
        <v>0</v>
      </c>
      <c r="V446" s="110"/>
      <c r="W446" s="110"/>
    </row>
    <row r="447" spans="2:23" ht="15">
      <c r="B447" s="92">
        <v>1731000750</v>
      </c>
      <c r="C447" s="109" t="str">
        <f t="shared" si="100"/>
        <v>750</v>
      </c>
      <c r="D447" s="109" t="str">
        <f t="shared" si="105"/>
        <v>731000</v>
      </c>
      <c r="E447" s="93" t="s">
        <v>439</v>
      </c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>
        <f>VLOOKUP(B:B,'[3]תשלומים 2017'!B:R,15,0)</f>
        <v>8000</v>
      </c>
      <c r="Q447" s="95">
        <f>VLOOKUP(B:B,'[3]דוח כספי 10.17 מעודכן'!A:D,4,0)</f>
        <v>2925</v>
      </c>
      <c r="R447" s="95">
        <f>VLOOKUP(B:B,'[3]תשלומים 2017'!B:T,17,0)</f>
        <v>4000</v>
      </c>
      <c r="S447" s="95">
        <f>Q447/10*12</f>
        <v>3510</v>
      </c>
      <c r="T447" s="95">
        <f>VLOOKUP('פירוט תקציב 2017 ו 2018'!B447,'תשלומים 2017'!$A$2:$Q$391,17,0)</f>
        <v>4000</v>
      </c>
      <c r="U447" s="95">
        <v>4000</v>
      </c>
      <c r="V447" s="110"/>
      <c r="W447" s="110"/>
    </row>
    <row r="448" spans="2:23" ht="15">
      <c r="B448" s="92">
        <v>1732000110</v>
      </c>
      <c r="C448" s="109" t="str">
        <f t="shared" si="100"/>
        <v>110</v>
      </c>
      <c r="D448" s="109" t="str">
        <f t="shared" si="105"/>
        <v>732000</v>
      </c>
      <c r="E448" s="93" t="s">
        <v>440</v>
      </c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>
        <f>VLOOKUP(B:B,'[3]תשלומים 2017'!B:R,15,0)</f>
        <v>0</v>
      </c>
      <c r="Q448" s="95">
        <f>VLOOKUP(B:B,'[3]דוח כספי 10.17 מעודכן'!A:D,4,0)</f>
        <v>0</v>
      </c>
      <c r="R448" s="95">
        <f>VLOOKUP(B:B,'[3]תשלומים 2017'!B:T,17,0)</f>
        <v>0</v>
      </c>
      <c r="S448" s="95">
        <f>Q448/9*12</f>
        <v>0</v>
      </c>
      <c r="T448" s="95">
        <f>VLOOKUP('פירוט תקציב 2017 ו 2018'!B448,'תשלומים 2017'!$A$2:$Q$391,17,0)</f>
        <v>0</v>
      </c>
      <c r="U448" s="95">
        <v>0</v>
      </c>
      <c r="V448" s="96"/>
      <c r="W448" s="96"/>
    </row>
    <row r="449" spans="2:23" ht="15">
      <c r="B449" s="92">
        <v>1732000540</v>
      </c>
      <c r="C449" s="109" t="str">
        <f t="shared" si="100"/>
        <v>540</v>
      </c>
      <c r="D449" s="109" t="str">
        <f t="shared" si="105"/>
        <v>732000</v>
      </c>
      <c r="E449" s="93" t="s">
        <v>441</v>
      </c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>
        <f>VLOOKUP(B:B,'[3]תשלומים 2017'!B:R,15,0)</f>
        <v>0</v>
      </c>
      <c r="Q449" s="95">
        <f>VLOOKUP(B:B,'[3]דוח כספי 10.17 מעודכן'!A:D,4,0)</f>
        <v>0</v>
      </c>
      <c r="R449" s="95">
        <f>VLOOKUP(B:B,'[3]תשלומים 2017'!B:T,17,0)</f>
        <v>0</v>
      </c>
      <c r="S449" s="95">
        <f>Q449/10*12</f>
        <v>0</v>
      </c>
      <c r="T449" s="95">
        <f>VLOOKUP('פירוט תקציב 2017 ו 2018'!B449,'תשלומים 2017'!$A$2:$Q$391,17,0)</f>
        <v>0</v>
      </c>
      <c r="U449" s="95">
        <v>0</v>
      </c>
      <c r="V449" s="110"/>
      <c r="W449" s="110"/>
    </row>
    <row r="450" spans="2:23" ht="15">
      <c r="B450" s="92">
        <v>1732000950</v>
      </c>
      <c r="C450" s="109" t="str">
        <f t="shared" si="100"/>
        <v>950</v>
      </c>
      <c r="D450" s="109" t="str">
        <f t="shared" si="105"/>
        <v>732000</v>
      </c>
      <c r="E450" s="93" t="s">
        <v>442</v>
      </c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>
        <f>VLOOKUP(B:B,'[3]תשלומים 2017'!B:R,15,0)</f>
        <v>67000</v>
      </c>
      <c r="Q450" s="95">
        <f>VLOOKUP(B:B,'[3]דוח כספי 10.17 מעודכן'!A:D,4,0)</f>
        <v>772.2</v>
      </c>
      <c r="R450" s="95">
        <f>VLOOKUP(B:B,'[3]תשלומים 2017'!B:T,17,0)</f>
        <v>67000</v>
      </c>
      <c r="S450" s="95">
        <f>Q450/10*12</f>
        <v>926.64</v>
      </c>
      <c r="T450" s="95">
        <f>VLOOKUP('פירוט תקציב 2017 ו 2018'!B450,'תשלומים 2017'!$A$2:$Q$391,17,0)</f>
        <v>67000</v>
      </c>
      <c r="U450" s="95">
        <v>10000</v>
      </c>
      <c r="V450" s="110"/>
      <c r="W450" s="110"/>
    </row>
    <row r="451" spans="2:23" ht="15">
      <c r="B451" s="92">
        <v>1732300750</v>
      </c>
      <c r="C451" s="109" t="str">
        <f t="shared" si="100"/>
        <v>750</v>
      </c>
      <c r="D451" s="109" t="str">
        <f t="shared" si="105"/>
        <v>732300</v>
      </c>
      <c r="E451" s="93" t="s">
        <v>443</v>
      </c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>
        <f>VLOOKUP(B:B,'[3]תשלומים 2017'!B:R,15,0)</f>
        <v>29000</v>
      </c>
      <c r="Q451" s="95">
        <f>VLOOKUP(B:B,'[3]דוח כספי 10.17 מעודכן'!A:D,4,0)</f>
        <v>48.48</v>
      </c>
      <c r="R451" s="95">
        <f>VLOOKUP(B:B,'[3]תשלומים 2017'!B:T,17,0)</f>
        <v>29000</v>
      </c>
      <c r="S451" s="95">
        <f>Q451/10*12</f>
        <v>58.176000000000002</v>
      </c>
      <c r="T451" s="95">
        <f>VLOOKUP('פירוט תקציב 2017 ו 2018'!B451,'תשלומים 2017'!$A$2:$Q$391,17,0)</f>
        <v>29000</v>
      </c>
      <c r="U451" s="95">
        <v>29000</v>
      </c>
      <c r="V451" s="110"/>
      <c r="W451" s="110"/>
    </row>
    <row r="452" spans="2:23" ht="15">
      <c r="B452" s="92">
        <v>1732400750</v>
      </c>
      <c r="C452" s="109" t="str">
        <f t="shared" si="100"/>
        <v>750</v>
      </c>
      <c r="D452" s="109" t="str">
        <f t="shared" si="105"/>
        <v>732400</v>
      </c>
      <c r="E452" s="93" t="s">
        <v>444</v>
      </c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>
        <f>VLOOKUP(B:B,'[3]תשלומים 2017'!B:R,15,0)</f>
        <v>0</v>
      </c>
      <c r="Q452" s="95">
        <f>VLOOKUP(B:B,'[3]דוח כספי 10.17 מעודכן'!A:D,4,0)</f>
        <v>0</v>
      </c>
      <c r="R452" s="95">
        <f>VLOOKUP(B:B,'[3]תשלומים 2017'!B:T,17,0)</f>
        <v>0</v>
      </c>
      <c r="S452" s="95">
        <f>Q452/10*12</f>
        <v>0</v>
      </c>
      <c r="T452" s="95">
        <f>VLOOKUP('פירוט תקציב 2017 ו 2018'!B452,'תשלומים 2017'!$A$2:$Q$391,17,0)</f>
        <v>0</v>
      </c>
      <c r="U452" s="95">
        <v>0</v>
      </c>
      <c r="V452" s="110"/>
      <c r="W452" s="110"/>
    </row>
    <row r="453" spans="2:23" ht="15">
      <c r="B453" s="28"/>
      <c r="C453" s="29"/>
      <c r="D453" s="29"/>
      <c r="E453" s="29" t="s">
        <v>445</v>
      </c>
      <c r="F453" s="30" t="e">
        <f>SUM(#REF!)</f>
        <v>#REF!</v>
      </c>
      <c r="G453" s="30" t="e">
        <f>SUM(#REF!)</f>
        <v>#REF!</v>
      </c>
      <c r="H453" s="30" t="e">
        <f>SUM(#REF!)</f>
        <v>#REF!</v>
      </c>
      <c r="I453" s="30" t="e">
        <f>SUM(#REF!)</f>
        <v>#REF!</v>
      </c>
      <c r="J453" s="30" t="e">
        <f>SUM(#REF!)</f>
        <v>#REF!</v>
      </c>
      <c r="K453" s="30" t="e">
        <f>SUM(#REF!)</f>
        <v>#REF!</v>
      </c>
      <c r="L453" s="30" t="e">
        <f>SUM(#REF!)</f>
        <v>#REF!</v>
      </c>
      <c r="M453" s="30" t="e">
        <f>SUM(#REF!)</f>
        <v>#REF!</v>
      </c>
      <c r="N453" s="30" t="e">
        <f>SUM(#REF!)</f>
        <v>#REF!</v>
      </c>
      <c r="O453" s="30" t="e">
        <f>SUM(#REF!)</f>
        <v>#REF!</v>
      </c>
      <c r="P453" s="30">
        <f t="shared" ref="P453:S453" si="106">SUM(P445:P452)</f>
        <v>570000</v>
      </c>
      <c r="Q453" s="30">
        <f t="shared" si="106"/>
        <v>211968.89</v>
      </c>
      <c r="R453" s="30">
        <f t="shared" si="106"/>
        <v>350000</v>
      </c>
      <c r="S453" s="30">
        <f t="shared" si="106"/>
        <v>282125.76266666665</v>
      </c>
      <c r="T453" s="30">
        <f>SUM(T445:T452)</f>
        <v>350000</v>
      </c>
      <c r="U453" s="30">
        <f>SUM(U445:U452)</f>
        <v>493000</v>
      </c>
      <c r="V453" s="31">
        <f>SUM(V445:V452)</f>
        <v>0</v>
      </c>
      <c r="W453" s="31">
        <f>SUM(W445:W452)</f>
        <v>1</v>
      </c>
    </row>
    <row r="454" spans="2:23" ht="15">
      <c r="B454" s="92">
        <v>1742100592</v>
      </c>
      <c r="C454" s="109" t="str">
        <f t="shared" si="100"/>
        <v>592</v>
      </c>
      <c r="D454" s="109" t="str">
        <f t="shared" ref="D454:D467" si="107">MID(B454,2,6)</f>
        <v>742100</v>
      </c>
      <c r="E454" s="93" t="s">
        <v>446</v>
      </c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>
        <f>VLOOKUP(B:B,'[3]תשלומים 2017'!B:R,15,0)</f>
        <v>0</v>
      </c>
      <c r="Q454" s="95">
        <f>VLOOKUP(B:B,'[3]דוח כספי 10.17 מעודכן'!A:D,4,0)</f>
        <v>0</v>
      </c>
      <c r="R454" s="95">
        <f>VLOOKUP(B:B,'[3]תשלומים 2017'!B:T,17,0)</f>
        <v>0</v>
      </c>
      <c r="S454" s="95">
        <f>Q454/10*12</f>
        <v>0</v>
      </c>
      <c r="T454" s="95">
        <f>VLOOKUP('פירוט תקציב 2017 ו 2018'!B454,'תשלומים 2017'!$A$2:$Q$391,17,0)</f>
        <v>0</v>
      </c>
      <c r="U454" s="95">
        <v>0</v>
      </c>
      <c r="V454" s="110"/>
      <c r="W454" s="110"/>
    </row>
    <row r="455" spans="2:23" ht="15">
      <c r="B455" s="92">
        <v>1742100750</v>
      </c>
      <c r="C455" s="109" t="str">
        <f t="shared" si="100"/>
        <v>750</v>
      </c>
      <c r="D455" s="109" t="str">
        <f t="shared" si="107"/>
        <v>742100</v>
      </c>
      <c r="E455" s="93" t="s">
        <v>447</v>
      </c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>
        <f>VLOOKUP(B:B,'[3]תשלומים 2017'!B:R,15,0)</f>
        <v>100000</v>
      </c>
      <c r="Q455" s="95">
        <f>VLOOKUP(B:B,'[3]דוח כספי 10.17 מעודכן'!A:D,4,0)</f>
        <v>81841</v>
      </c>
      <c r="R455" s="95">
        <f>VLOOKUP(B:B,'[3]תשלומים 2017'!B:T,17,0)</f>
        <v>100000</v>
      </c>
      <c r="S455" s="95">
        <f>Q455/10*12</f>
        <v>98209.200000000012</v>
      </c>
      <c r="T455" s="95">
        <f>VLOOKUP('פירוט תקציב 2017 ו 2018'!B455,'תשלומים 2017'!$A$2:$Q$391,17,0)</f>
        <v>100000</v>
      </c>
      <c r="U455" s="95">
        <v>100000</v>
      </c>
      <c r="V455" s="110"/>
      <c r="W455" s="110"/>
    </row>
    <row r="456" spans="2:23" ht="15">
      <c r="B456" s="92">
        <v>1742100810</v>
      </c>
      <c r="C456" s="109" t="str">
        <f t="shared" si="100"/>
        <v>810</v>
      </c>
      <c r="D456" s="109" t="str">
        <f t="shared" si="107"/>
        <v>742100</v>
      </c>
      <c r="E456" s="93" t="s">
        <v>446</v>
      </c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>
        <f>VLOOKUP(B:B,'[3]תשלומים 2017'!B:R,15,0)</f>
        <v>53000</v>
      </c>
      <c r="Q456" s="95">
        <f>VLOOKUP(B:B,'[3]דוח כספי 10.17 מעודכן'!A:D,4,0)</f>
        <v>85000</v>
      </c>
      <c r="R456" s="95">
        <f>VLOOKUP(B:B,'[3]תשלומים 2017'!B:T,17,0)</f>
        <v>85000</v>
      </c>
      <c r="S456" s="95">
        <f>Q456/10*12</f>
        <v>102000</v>
      </c>
      <c r="T456" s="95">
        <f>VLOOKUP('פירוט תקציב 2017 ו 2018'!B456,'תשלומים 2017'!$A$2:$Q$391,17,0)</f>
        <v>85000</v>
      </c>
      <c r="U456" s="95">
        <v>102000</v>
      </c>
      <c r="V456" s="110"/>
      <c r="W456" s="110"/>
    </row>
    <row r="457" spans="2:23" ht="15">
      <c r="B457" s="92">
        <v>1742100930</v>
      </c>
      <c r="C457" s="109" t="str">
        <f t="shared" si="100"/>
        <v>930</v>
      </c>
      <c r="D457" s="109" t="str">
        <f t="shared" si="107"/>
        <v>742100</v>
      </c>
      <c r="E457" s="93" t="s">
        <v>448</v>
      </c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>
        <f>VLOOKUP(B:B,'[3]תשלומים 2017'!B:R,15,0)</f>
        <v>5000</v>
      </c>
      <c r="Q457" s="95">
        <f>VLOOKUP(B:B,'[3]דוח כספי 10.17 מעודכן'!A:D,4,0)</f>
        <v>0</v>
      </c>
      <c r="R457" s="95">
        <f>VLOOKUP(B:B,'[3]תשלומים 2017'!B:T,17,0)</f>
        <v>0</v>
      </c>
      <c r="S457" s="95">
        <f>Q457/10*12</f>
        <v>0</v>
      </c>
      <c r="T457" s="95">
        <f>VLOOKUP('פירוט תקציב 2017 ו 2018'!B457,'תשלומים 2017'!$A$2:$Q$391,17,0)</f>
        <v>0</v>
      </c>
      <c r="U457" s="95">
        <v>0</v>
      </c>
      <c r="V457" s="110"/>
      <c r="W457" s="110"/>
    </row>
    <row r="458" spans="2:23" ht="15">
      <c r="B458" s="92">
        <v>1743000110</v>
      </c>
      <c r="C458" s="109" t="str">
        <f t="shared" si="100"/>
        <v>110</v>
      </c>
      <c r="D458" s="109" t="str">
        <f t="shared" si="107"/>
        <v>743000</v>
      </c>
      <c r="E458" s="93" t="s">
        <v>449</v>
      </c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>
        <f>VLOOKUP(B:B,'[3]תשלומים 2017'!B:R,15,0)</f>
        <v>0</v>
      </c>
      <c r="Q458" s="95">
        <f>VLOOKUP(B:B,'[3]דוח כספי 10.17 מעודכן'!A:D,4,0)</f>
        <v>0</v>
      </c>
      <c r="R458" s="95">
        <f>VLOOKUP(B:B,'[3]תשלומים 2017'!B:T,17,0)</f>
        <v>0</v>
      </c>
      <c r="S458" s="95">
        <f>Q458/9*12</f>
        <v>0</v>
      </c>
      <c r="T458" s="95">
        <f>VLOOKUP('פירוט תקציב 2017 ו 2018'!B458,'תשלומים 2017'!$A$2:$Q$391,17,0)</f>
        <v>0</v>
      </c>
      <c r="U458" s="95">
        <v>0</v>
      </c>
      <c r="V458" s="96"/>
      <c r="W458" s="96"/>
    </row>
    <row r="459" spans="2:23" ht="15">
      <c r="B459" s="92">
        <v>1743000431</v>
      </c>
      <c r="C459" s="109" t="str">
        <f t="shared" si="100"/>
        <v>431</v>
      </c>
      <c r="D459" s="109" t="str">
        <f t="shared" si="107"/>
        <v>743000</v>
      </c>
      <c r="E459" s="93" t="s">
        <v>450</v>
      </c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>
        <f>VLOOKUP(B:B,'[3]תשלומים 2017'!B:R,15,0)</f>
        <v>251000</v>
      </c>
      <c r="Q459" s="95">
        <f>VLOOKUP(B:B,'[3]דוח כספי 10.17 מעודכן'!A:D,4,0)</f>
        <v>163058.23999999999</v>
      </c>
      <c r="R459" s="95">
        <f>VLOOKUP(B:B,'[3]תשלומים 2017'!B:T,17,0)</f>
        <v>230000</v>
      </c>
      <c r="S459" s="95">
        <f t="shared" ref="S459:S467" si="108">Q459/10*12</f>
        <v>195669.88799999998</v>
      </c>
      <c r="T459" s="95">
        <f>VLOOKUP('פירוט תקציב 2017 ו 2018'!B459,'תשלומים 2017'!$A$2:$Q$391,17,0)</f>
        <v>230000</v>
      </c>
      <c r="U459" s="95">
        <v>200000</v>
      </c>
      <c r="V459" s="110"/>
      <c r="W459" s="110"/>
    </row>
    <row r="460" spans="2:23" ht="15">
      <c r="B460" s="92">
        <v>1743000540</v>
      </c>
      <c r="C460" s="109" t="str">
        <f t="shared" si="100"/>
        <v>540</v>
      </c>
      <c r="D460" s="109" t="str">
        <f t="shared" si="107"/>
        <v>743000</v>
      </c>
      <c r="E460" s="93" t="s">
        <v>401</v>
      </c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>
        <f>VLOOKUP(B:B,'[3]תשלומים 2017'!B:R,15,0)</f>
        <v>0</v>
      </c>
      <c r="Q460" s="95">
        <f>VLOOKUP(B:B,'[3]דוח כספי 10.17 מעודכן'!A:D,4,0)</f>
        <v>0</v>
      </c>
      <c r="R460" s="95">
        <f>VLOOKUP(B:B,'[3]תשלומים 2017'!B:T,17,0)</f>
        <v>0</v>
      </c>
      <c r="S460" s="95">
        <f t="shared" si="108"/>
        <v>0</v>
      </c>
      <c r="T460" s="95">
        <f>VLOOKUP('פירוט תקציב 2017 ו 2018'!B460,'תשלומים 2017'!$A$2:$Q$391,17,0)</f>
        <v>0</v>
      </c>
      <c r="U460" s="95">
        <v>0</v>
      </c>
      <c r="V460" s="110"/>
      <c r="W460" s="110"/>
    </row>
    <row r="461" spans="2:23" ht="15">
      <c r="B461" s="92">
        <v>1743000750</v>
      </c>
      <c r="C461" s="109" t="str">
        <f t="shared" si="100"/>
        <v>750</v>
      </c>
      <c r="D461" s="109" t="str">
        <f t="shared" si="107"/>
        <v>743000</v>
      </c>
      <c r="E461" s="93" t="s">
        <v>451</v>
      </c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>
        <f>VLOOKUP(B:B,'[3]תשלומים 2017'!B:R,15,0)</f>
        <v>177000</v>
      </c>
      <c r="Q461" s="95">
        <f>VLOOKUP(B:B,'[3]דוח כספי 10.17 מעודכן'!A:D,4,0)</f>
        <v>101148.65</v>
      </c>
      <c r="R461" s="95">
        <f>VLOOKUP(B:B,'[3]תשלומים 2017'!B:T,17,0)</f>
        <v>177000</v>
      </c>
      <c r="S461" s="95">
        <f t="shared" si="108"/>
        <v>121378.38</v>
      </c>
      <c r="T461" s="95">
        <f>VLOOKUP('פירוט תקציב 2017 ו 2018'!B461,'תשלומים 2017'!$A$2:$Q$391,17,0)</f>
        <v>177000</v>
      </c>
      <c r="U461" s="95">
        <v>130000</v>
      </c>
      <c r="V461" s="110"/>
      <c r="W461" s="110"/>
    </row>
    <row r="462" spans="2:23" ht="15">
      <c r="B462" s="92">
        <v>1744000581</v>
      </c>
      <c r="C462" s="109" t="str">
        <f t="shared" si="100"/>
        <v>581</v>
      </c>
      <c r="D462" s="109" t="str">
        <f t="shared" si="107"/>
        <v>744000</v>
      </c>
      <c r="E462" s="93" t="s">
        <v>78</v>
      </c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>
        <f>VLOOKUP(B:B,'[3]תשלומים 2017'!B:R,15,0)</f>
        <v>0</v>
      </c>
      <c r="Q462" s="95">
        <f>VLOOKUP(B:B,'[3]דוח כספי 10.17 מעודכן'!A:D,4,0)</f>
        <v>0</v>
      </c>
      <c r="R462" s="95">
        <f>VLOOKUP(B:B,'[3]תשלומים 2017'!B:T,17,0)</f>
        <v>0</v>
      </c>
      <c r="S462" s="95">
        <f t="shared" si="108"/>
        <v>0</v>
      </c>
      <c r="T462" s="95">
        <f>VLOOKUP('פירוט תקציב 2017 ו 2018'!B462,'תשלומים 2017'!$A$2:$Q$391,17,0)</f>
        <v>0</v>
      </c>
      <c r="U462" s="95">
        <v>0</v>
      </c>
      <c r="V462" s="110"/>
      <c r="W462" s="110"/>
    </row>
    <row r="463" spans="2:23" ht="15">
      <c r="B463" s="92">
        <v>1744000810</v>
      </c>
      <c r="C463" s="109" t="str">
        <f t="shared" si="100"/>
        <v>810</v>
      </c>
      <c r="D463" s="109" t="str">
        <f t="shared" si="107"/>
        <v>744000</v>
      </c>
      <c r="E463" s="93" t="s">
        <v>78</v>
      </c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>
        <f>VLOOKUP(B:B,'[3]תשלומים 2017'!B:R,15,0)</f>
        <v>100000</v>
      </c>
      <c r="Q463" s="95">
        <f>VLOOKUP(B:B,'[3]דוח כספי 10.17 מעודכן'!A:D,4,0)</f>
        <v>38600</v>
      </c>
      <c r="R463" s="95">
        <f>VLOOKUP(B:B,'[3]תשלומים 2017'!B:T,17,0)</f>
        <v>50000</v>
      </c>
      <c r="S463" s="95">
        <f t="shared" si="108"/>
        <v>46320</v>
      </c>
      <c r="T463" s="95">
        <f>VLOOKUP('פירוט תקציב 2017 ו 2018'!B463,'תשלומים 2017'!$A$2:$Q$391,17,0)</f>
        <v>50000</v>
      </c>
      <c r="U463" s="95">
        <v>50000</v>
      </c>
      <c r="V463" s="110"/>
      <c r="W463" s="110"/>
    </row>
    <row r="464" spans="2:23" ht="15">
      <c r="B464" s="92">
        <v>1746000422</v>
      </c>
      <c r="C464" s="109" t="str">
        <f t="shared" si="100"/>
        <v>422</v>
      </c>
      <c r="D464" s="109" t="str">
        <f t="shared" si="107"/>
        <v>746000</v>
      </c>
      <c r="E464" s="93" t="s">
        <v>452</v>
      </c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>
        <f>VLOOKUP(B:B,'[3]תשלומים 2017'!B:R,15,0)</f>
        <v>0</v>
      </c>
      <c r="Q464" s="95">
        <f>VLOOKUP(B:B,'[3]דוח כספי 10.17 מעודכן'!A:D,4,0)</f>
        <v>27378</v>
      </c>
      <c r="R464" s="95">
        <f>VLOOKUP(B:B,'[3]תשלומים 2017'!B:T,17,0)</f>
        <v>35000</v>
      </c>
      <c r="S464" s="95">
        <f t="shared" si="108"/>
        <v>32853.600000000006</v>
      </c>
      <c r="T464" s="95">
        <f>VLOOKUP('פירוט תקציב 2017 ו 2018'!B464,'תשלומים 2017'!$A$2:$Q$391,17,0)</f>
        <v>35000</v>
      </c>
      <c r="U464" s="95">
        <v>34000</v>
      </c>
      <c r="V464" s="110"/>
      <c r="W464" s="110"/>
    </row>
    <row r="465" spans="2:23" ht="15">
      <c r="B465" s="100">
        <v>1746000432</v>
      </c>
      <c r="C465" s="101" t="str">
        <f t="shared" si="100"/>
        <v>432</v>
      </c>
      <c r="D465" s="101" t="str">
        <f t="shared" si="107"/>
        <v>746000</v>
      </c>
      <c r="E465" s="102" t="s">
        <v>453</v>
      </c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>
        <f>VLOOKUP(B:B,'[3]תשלומים 2017'!B:R,15,0)</f>
        <v>10000</v>
      </c>
      <c r="Q465" s="103">
        <f>VLOOKUP(B:B,'[3]דוח כספי 10.17 מעודכן'!A:D,4,0)</f>
        <v>0</v>
      </c>
      <c r="R465" s="103">
        <f>VLOOKUP(B:B,'[3]תשלומים 2017'!B:T,17,0)</f>
        <v>10000</v>
      </c>
      <c r="S465" s="103">
        <f t="shared" si="108"/>
        <v>0</v>
      </c>
      <c r="T465" s="95">
        <f>VLOOKUP('פירוט תקציב 2017 ו 2018'!B465,'תשלומים 2017'!$A$2:$Q$391,17,0)</f>
        <v>10000</v>
      </c>
      <c r="U465" s="103">
        <v>10000</v>
      </c>
      <c r="V465" s="110"/>
      <c r="W465" s="110"/>
    </row>
    <row r="466" spans="2:23" ht="15">
      <c r="B466" s="92">
        <v>1746000740</v>
      </c>
      <c r="C466" s="109" t="str">
        <f t="shared" si="100"/>
        <v>740</v>
      </c>
      <c r="D466" s="109" t="str">
        <f t="shared" si="107"/>
        <v>746000</v>
      </c>
      <c r="E466" s="93" t="s">
        <v>454</v>
      </c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>
        <f>VLOOKUP(B:B,'[3]תשלומים 2017'!B:R,15,0)</f>
        <v>5000</v>
      </c>
      <c r="Q466" s="95">
        <f>VLOOKUP(B:B,'[3]דוח כספי 10.17 מעודכן'!A:D,4,0)</f>
        <v>0</v>
      </c>
      <c r="R466" s="95">
        <f>VLOOKUP(B:B,'[3]תשלומים 2017'!B:T,17,0)</f>
        <v>5000</v>
      </c>
      <c r="S466" s="95">
        <f t="shared" si="108"/>
        <v>0</v>
      </c>
      <c r="T466" s="95">
        <f>VLOOKUP('פירוט תקציב 2017 ו 2018'!B466,'תשלומים 2017'!$A$2:$Q$391,17,0)</f>
        <v>5000</v>
      </c>
      <c r="U466" s="95">
        <v>5000</v>
      </c>
      <c r="V466" s="110"/>
      <c r="W466" s="110"/>
    </row>
    <row r="467" spans="2:23" ht="15">
      <c r="B467" s="92">
        <v>1746000810</v>
      </c>
      <c r="C467" s="109" t="str">
        <f t="shared" si="100"/>
        <v>810</v>
      </c>
      <c r="D467" s="109" t="str">
        <f t="shared" si="107"/>
        <v>746000</v>
      </c>
      <c r="E467" s="93" t="s">
        <v>452</v>
      </c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>
        <f>VLOOKUP(B:B,'[3]תשלומים 2017'!B:R,15,0)</f>
        <v>164000</v>
      </c>
      <c r="Q467" s="95">
        <f>VLOOKUP(B:B,'[3]דוח כספי 10.17 מעודכן'!A:D,4,0)</f>
        <v>4001.4</v>
      </c>
      <c r="R467" s="95">
        <f>VLOOKUP(B:B,'[3]תשלומים 2017'!B:T,17,0)</f>
        <v>150000</v>
      </c>
      <c r="S467" s="95">
        <f t="shared" si="108"/>
        <v>4801.68</v>
      </c>
      <c r="T467" s="95">
        <f>VLOOKUP('פירוט תקציב 2017 ו 2018'!B467,'תשלומים 2017'!$A$2:$Q$391,17,0)</f>
        <v>150000</v>
      </c>
      <c r="U467" s="95">
        <v>100000</v>
      </c>
      <c r="V467" s="110"/>
      <c r="W467" s="110"/>
    </row>
    <row r="468" spans="2:23" ht="15">
      <c r="B468" s="28"/>
      <c r="C468" s="29"/>
      <c r="D468" s="29"/>
      <c r="E468" s="29" t="s">
        <v>455</v>
      </c>
      <c r="F468" s="30" t="e">
        <f>SUM(#REF!)</f>
        <v>#REF!</v>
      </c>
      <c r="G468" s="30" t="e">
        <f>SUM(#REF!)</f>
        <v>#REF!</v>
      </c>
      <c r="H468" s="30" t="e">
        <f>SUM(#REF!)</f>
        <v>#REF!</v>
      </c>
      <c r="I468" s="30" t="e">
        <f>SUM(#REF!)</f>
        <v>#REF!</v>
      </c>
      <c r="J468" s="30" t="e">
        <f>SUM(#REF!)</f>
        <v>#REF!</v>
      </c>
      <c r="K468" s="30" t="e">
        <f>SUM(#REF!)</f>
        <v>#REF!</v>
      </c>
      <c r="L468" s="30" t="e">
        <f>SUM(#REF!)</f>
        <v>#REF!</v>
      </c>
      <c r="M468" s="30" t="e">
        <f>SUM(#REF!)</f>
        <v>#REF!</v>
      </c>
      <c r="N468" s="30" t="e">
        <f>SUM(#REF!)</f>
        <v>#REF!</v>
      </c>
      <c r="O468" s="30" t="e">
        <f>SUM(#REF!)</f>
        <v>#REF!</v>
      </c>
      <c r="P468" s="30">
        <f t="shared" ref="P468:S468" si="109">SUM(P454:P467)</f>
        <v>865000</v>
      </c>
      <c r="Q468" s="30">
        <f t="shared" si="109"/>
        <v>501027.29000000004</v>
      </c>
      <c r="R468" s="30">
        <f t="shared" si="109"/>
        <v>842000</v>
      </c>
      <c r="S468" s="30">
        <f t="shared" si="109"/>
        <v>601232.74800000002</v>
      </c>
      <c r="T468" s="30">
        <f>SUM(T454:T467)</f>
        <v>842000</v>
      </c>
      <c r="U468" s="30">
        <f>SUM(U454:U467)</f>
        <v>731000</v>
      </c>
      <c r="V468" s="31">
        <f t="shared" ref="V468:W468" si="110">SUM(V454:V467)</f>
        <v>0</v>
      </c>
      <c r="W468" s="31">
        <f t="shared" si="110"/>
        <v>0</v>
      </c>
    </row>
    <row r="469" spans="2:23" ht="15">
      <c r="B469" s="92">
        <v>1761000110</v>
      </c>
      <c r="C469" s="109" t="str">
        <f t="shared" si="100"/>
        <v>110</v>
      </c>
      <c r="D469" s="109" t="str">
        <f t="shared" ref="D469:D474" si="111">MID(B469,2,6)</f>
        <v>761000</v>
      </c>
      <c r="E469" s="93" t="s">
        <v>456</v>
      </c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>
        <f>VLOOKUP(B:B,'[3]תשלומים 2017'!B:R,15,0)</f>
        <v>238000</v>
      </c>
      <c r="Q469" s="95">
        <f>VLOOKUP(B:B,'[3]דוח כספי 10.17 מעודכן'!A:D,4,0)</f>
        <v>178157.92</v>
      </c>
      <c r="R469" s="95">
        <f>VLOOKUP(B:B,'[3]תשלומים 2017'!B:T,17,0)</f>
        <v>238000</v>
      </c>
      <c r="S469" s="95">
        <f>Q469/9*12</f>
        <v>237543.89333333337</v>
      </c>
      <c r="T469" s="95">
        <f>VLOOKUP('פירוט תקציב 2017 ו 2018'!B469,'תשלומים 2017'!$A$2:$Q$391,17,0)</f>
        <v>238000</v>
      </c>
      <c r="U469" s="95">
        <v>239000</v>
      </c>
      <c r="V469" s="96">
        <v>1</v>
      </c>
      <c r="W469" s="96">
        <v>1</v>
      </c>
    </row>
    <row r="470" spans="2:23" ht="15">
      <c r="B470" s="92">
        <v>1761000422</v>
      </c>
      <c r="C470" s="109" t="str">
        <f t="shared" si="100"/>
        <v>422</v>
      </c>
      <c r="D470" s="109" t="str">
        <f t="shared" si="111"/>
        <v>761000</v>
      </c>
      <c r="E470" s="93" t="s">
        <v>457</v>
      </c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>
        <f>VLOOKUP(B:B,'[3]תשלומים 2017'!B:R,15,0)</f>
        <v>0</v>
      </c>
      <c r="Q470" s="95">
        <f>VLOOKUP(B:B,'[3]דוח כספי 10.17 מעודכן'!A:D,4,0)</f>
        <v>0</v>
      </c>
      <c r="R470" s="95">
        <f>VLOOKUP(B:B,'[3]תשלומים 2017'!B:T,17,0)</f>
        <v>0</v>
      </c>
      <c r="S470" s="95">
        <f>Q470/10*12</f>
        <v>0</v>
      </c>
      <c r="T470" s="95">
        <f>VLOOKUP('פירוט תקציב 2017 ו 2018'!B470,'תשלומים 2017'!$A$2:$Q$391,17,0)</f>
        <v>0</v>
      </c>
      <c r="U470" s="95">
        <v>0</v>
      </c>
      <c r="V470" s="110"/>
      <c r="W470" s="110"/>
    </row>
    <row r="471" spans="2:23" ht="15">
      <c r="B471" s="92">
        <v>1761000431</v>
      </c>
      <c r="C471" s="109" t="str">
        <f t="shared" si="100"/>
        <v>431</v>
      </c>
      <c r="D471" s="109" t="str">
        <f t="shared" si="111"/>
        <v>761000</v>
      </c>
      <c r="E471" s="93" t="s">
        <v>458</v>
      </c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>
        <f>VLOOKUP(B:B,'[3]תשלומים 2017'!B:R,15,0)</f>
        <v>0</v>
      </c>
      <c r="Q471" s="95">
        <f>VLOOKUP(B:B,'[3]דוח כספי 10.17 מעודכן'!A:D,4,0)</f>
        <v>0</v>
      </c>
      <c r="R471" s="95">
        <f>VLOOKUP(B:B,'[3]תשלומים 2017'!B:T,17,0)</f>
        <v>0</v>
      </c>
      <c r="S471" s="95">
        <f>Q471/10*12</f>
        <v>0</v>
      </c>
      <c r="T471" s="95">
        <f>VLOOKUP('פירוט תקציב 2017 ו 2018'!B471,'תשלומים 2017'!$A$2:$Q$391,17,0)</f>
        <v>0</v>
      </c>
      <c r="U471" s="95">
        <v>0</v>
      </c>
      <c r="V471" s="110"/>
      <c r="W471" s="110"/>
    </row>
    <row r="472" spans="2:23" ht="15">
      <c r="B472" s="92">
        <v>1761000521</v>
      </c>
      <c r="C472" s="109" t="str">
        <f t="shared" si="100"/>
        <v>521</v>
      </c>
      <c r="D472" s="109" t="str">
        <f t="shared" si="111"/>
        <v>761000</v>
      </c>
      <c r="E472" s="93" t="s">
        <v>459</v>
      </c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>
        <f>VLOOKUP(B:B,'[3]תשלומים 2017'!B:R,15,0)</f>
        <v>2000</v>
      </c>
      <c r="Q472" s="95">
        <f>VLOOKUP(B:B,'[3]דוח כספי 10.17 מעודכן'!A:D,4,0)</f>
        <v>835</v>
      </c>
      <c r="R472" s="95">
        <f>VLOOKUP(B:B,'[3]תשלומים 2017'!B:T,17,0)</f>
        <v>2000</v>
      </c>
      <c r="S472" s="95">
        <f>Q472/10*12</f>
        <v>1002</v>
      </c>
      <c r="T472" s="95">
        <f>VLOOKUP('פירוט תקציב 2017 ו 2018'!B472,'תשלומים 2017'!$A$2:$Q$391,17,0)</f>
        <v>2000</v>
      </c>
      <c r="U472" s="95">
        <v>1500</v>
      </c>
      <c r="V472" s="110"/>
      <c r="W472" s="110"/>
    </row>
    <row r="473" spans="2:23" ht="15">
      <c r="B473" s="92">
        <v>1761000540</v>
      </c>
      <c r="C473" s="109" t="str">
        <f t="shared" si="100"/>
        <v>540</v>
      </c>
      <c r="D473" s="109" t="str">
        <f t="shared" si="111"/>
        <v>761000</v>
      </c>
      <c r="E473" s="93" t="s">
        <v>438</v>
      </c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>
        <f>VLOOKUP(B:B,'[3]תשלומים 2017'!B:R,15,0)</f>
        <v>2000</v>
      </c>
      <c r="Q473" s="95">
        <f>VLOOKUP(B:B,'[3]דוח כספי 10.17 מעודכן'!A:D,4,0)</f>
        <v>0</v>
      </c>
      <c r="R473" s="95">
        <f>VLOOKUP(B:B,'[3]תשלומים 2017'!B:T,17,0)</f>
        <v>0</v>
      </c>
      <c r="S473" s="95">
        <f>Q473/10*12</f>
        <v>0</v>
      </c>
      <c r="T473" s="95">
        <f>VLOOKUP('פירוט תקציב 2017 ו 2018'!B473,'תשלומים 2017'!$A$2:$Q$391,17,0)</f>
        <v>0</v>
      </c>
      <c r="U473" s="95">
        <v>0</v>
      </c>
      <c r="V473" s="110"/>
      <c r="W473" s="110"/>
    </row>
    <row r="474" spans="2:23" ht="15">
      <c r="B474" s="92">
        <v>1761000810</v>
      </c>
      <c r="C474" s="109" t="str">
        <f t="shared" si="100"/>
        <v>810</v>
      </c>
      <c r="D474" s="109" t="str">
        <f t="shared" si="111"/>
        <v>761000</v>
      </c>
      <c r="E474" s="93" t="s">
        <v>457</v>
      </c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>
        <f>VLOOKUP(B:B,'[3]תשלומים 2017'!B:R,15,0)</f>
        <v>35000</v>
      </c>
      <c r="Q474" s="95">
        <f>VLOOKUP(B:B,'[3]דוח כספי 10.17 מעודכן'!A:D,4,0)</f>
        <v>16100</v>
      </c>
      <c r="R474" s="95">
        <f>VLOOKUP(B:B,'[3]תשלומים 2017'!B:T,17,0)</f>
        <v>35000</v>
      </c>
      <c r="S474" s="95">
        <f>Q474/10*12</f>
        <v>19320</v>
      </c>
      <c r="T474" s="95">
        <f>VLOOKUP('פירוט תקציב 2017 ו 2018'!B474,'תשלומים 2017'!$A$2:$Q$391,17,0)</f>
        <v>35000</v>
      </c>
      <c r="U474" s="95">
        <v>20000</v>
      </c>
      <c r="V474" s="110"/>
      <c r="W474" s="110"/>
    </row>
    <row r="475" spans="2:23" ht="15">
      <c r="B475" s="28"/>
      <c r="C475" s="29"/>
      <c r="D475" s="29"/>
      <c r="E475" s="29" t="s">
        <v>460</v>
      </c>
      <c r="F475" s="30" t="e">
        <f>SUM(#REF!)</f>
        <v>#REF!</v>
      </c>
      <c r="G475" s="30" t="e">
        <f>SUM(#REF!)</f>
        <v>#REF!</v>
      </c>
      <c r="H475" s="30" t="e">
        <f>SUM(#REF!)</f>
        <v>#REF!</v>
      </c>
      <c r="I475" s="30" t="e">
        <f>SUM(#REF!)</f>
        <v>#REF!</v>
      </c>
      <c r="J475" s="30" t="e">
        <f>SUM(#REF!)</f>
        <v>#REF!</v>
      </c>
      <c r="K475" s="30" t="e">
        <f>SUM(#REF!)</f>
        <v>#REF!</v>
      </c>
      <c r="L475" s="30" t="e">
        <f>SUM(#REF!)</f>
        <v>#REF!</v>
      </c>
      <c r="M475" s="30" t="e">
        <f>SUM(#REF!)</f>
        <v>#REF!</v>
      </c>
      <c r="N475" s="30" t="e">
        <f>SUM(#REF!)</f>
        <v>#REF!</v>
      </c>
      <c r="O475" s="30" t="e">
        <f>SUM(#REF!)</f>
        <v>#REF!</v>
      </c>
      <c r="P475" s="30">
        <f t="shared" ref="P475:W475" si="112">SUM(P469:P474)</f>
        <v>277000</v>
      </c>
      <c r="Q475" s="30">
        <f t="shared" si="112"/>
        <v>195092.92</v>
      </c>
      <c r="R475" s="30">
        <f t="shared" si="112"/>
        <v>275000</v>
      </c>
      <c r="S475" s="30">
        <f t="shared" si="112"/>
        <v>257865.89333333337</v>
      </c>
      <c r="T475" s="30">
        <f t="shared" ref="T475" si="113">SUM(T469:T474)</f>
        <v>275000</v>
      </c>
      <c r="U475" s="30">
        <f t="shared" si="112"/>
        <v>260500</v>
      </c>
      <c r="V475" s="112">
        <f t="shared" si="112"/>
        <v>1</v>
      </c>
      <c r="W475" s="112">
        <f t="shared" si="112"/>
        <v>1</v>
      </c>
    </row>
    <row r="476" spans="2:23" ht="15">
      <c r="B476" s="121"/>
      <c r="C476" s="122"/>
      <c r="D476" s="122"/>
      <c r="E476" s="33" t="s">
        <v>461</v>
      </c>
      <c r="F476" s="34" t="e">
        <f>+F475+#REF!+#REF!+F468+F453+F444+F440</f>
        <v>#REF!</v>
      </c>
      <c r="G476" s="34" t="e">
        <f>+G475+#REF!+#REF!+G468+G453+G444+G440</f>
        <v>#REF!</v>
      </c>
      <c r="H476" s="34" t="e">
        <f>+H475+#REF!+#REF!+H468+H453+H444+H440</f>
        <v>#REF!</v>
      </c>
      <c r="I476" s="34" t="e">
        <f>+I475+#REF!+#REF!+I468+I453+I444+I440</f>
        <v>#REF!</v>
      </c>
      <c r="J476" s="34" t="e">
        <f>+J475+#REF!+#REF!+J468+J453+J444+J440</f>
        <v>#REF!</v>
      </c>
      <c r="K476" s="34" t="e">
        <f>+K475+#REF!+#REF!+K468+K453+K444+K440</f>
        <v>#REF!</v>
      </c>
      <c r="L476" s="34" t="e">
        <f>+L475+#REF!+#REF!+L468+L453+L444+L440</f>
        <v>#REF!</v>
      </c>
      <c r="M476" s="34" t="e">
        <f>+M475+#REF!+#REF!+M468+M453+M444+M440</f>
        <v>#REF!</v>
      </c>
      <c r="N476" s="34" t="e">
        <f>+N475+#REF!+#REF!+N468+N453+N444+N440</f>
        <v>#REF!</v>
      </c>
      <c r="O476" s="34" t="e">
        <f>+O475+#REF!+#REF!+O468+O453+O444+O440</f>
        <v>#REF!</v>
      </c>
      <c r="P476" s="34">
        <f t="shared" ref="P476:S476" si="114">+P475+P468+P453+P444+P440</f>
        <v>5248000</v>
      </c>
      <c r="Q476" s="34">
        <f t="shared" si="114"/>
        <v>3911841.01</v>
      </c>
      <c r="R476" s="34">
        <f t="shared" si="114"/>
        <v>5092000</v>
      </c>
      <c r="S476" s="34">
        <f t="shared" si="114"/>
        <v>4762887.577333333</v>
      </c>
      <c r="T476" s="34">
        <f>+T475+T468+T453+T444+T440</f>
        <v>5132000</v>
      </c>
      <c r="U476" s="34">
        <f>+U475+U468+U453+U444+U440</f>
        <v>5044500</v>
      </c>
      <c r="V476" s="123">
        <f>+V475+V468+V453+V444+V440</f>
        <v>2.94</v>
      </c>
      <c r="W476" s="123">
        <f>+W475+W468+W453+W444+W440</f>
        <v>3.94</v>
      </c>
    </row>
    <row r="477" spans="2:23" ht="15">
      <c r="B477" s="86"/>
      <c r="C477" s="87" t="s">
        <v>83</v>
      </c>
      <c r="D477" s="87"/>
      <c r="E477" s="87"/>
      <c r="F477" s="87"/>
      <c r="G477" s="87"/>
      <c r="H477" s="87"/>
      <c r="I477" s="88"/>
      <c r="J477" s="95"/>
      <c r="K477" s="124"/>
      <c r="L477" s="124"/>
      <c r="M477" s="124"/>
      <c r="N477" s="124"/>
      <c r="O477" s="95">
        <v>0</v>
      </c>
      <c r="P477" s="95"/>
      <c r="Q477" s="95"/>
      <c r="R477" s="95"/>
      <c r="S477" s="95"/>
      <c r="T477" s="124"/>
      <c r="U477" s="124"/>
      <c r="V477" s="89"/>
      <c r="W477" s="89"/>
    </row>
    <row r="478" spans="2:23" ht="15">
      <c r="B478" s="92">
        <v>1811000110</v>
      </c>
      <c r="C478" s="109" t="str">
        <f t="shared" ref="C478:C547" si="115">MID(B478,8,3)</f>
        <v>110</v>
      </c>
      <c r="D478" s="109" t="str">
        <f t="shared" ref="D478:D484" si="116">MID(B478,2,6)</f>
        <v>811000</v>
      </c>
      <c r="E478" s="93" t="s">
        <v>462</v>
      </c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>
        <f>VLOOKUP(B:B,'[3]תשלומים 2017'!B:R,15,0)</f>
        <v>494000</v>
      </c>
      <c r="Q478" s="95">
        <f>VLOOKUP(B:B,'[3]דוח כספי 10.17 מעודכן'!A:D,4,0)</f>
        <v>405652.44</v>
      </c>
      <c r="R478" s="95">
        <v>555000</v>
      </c>
      <c r="S478" s="95">
        <f>Q478/9*12</f>
        <v>540869.91999999993</v>
      </c>
      <c r="T478" s="95">
        <f>VLOOKUP('פירוט תקציב 2017 ו 2018'!B478,'תשלומים 2017'!$A$2:$Q$391,17,0)</f>
        <v>570000</v>
      </c>
      <c r="U478" s="95">
        <v>560000</v>
      </c>
      <c r="V478" s="96">
        <v>2.48</v>
      </c>
      <c r="W478" s="96">
        <v>2.4900000000000002</v>
      </c>
    </row>
    <row r="479" spans="2:23" ht="15">
      <c r="B479" s="92">
        <v>1811000521</v>
      </c>
      <c r="C479" s="109" t="str">
        <f t="shared" si="115"/>
        <v>521</v>
      </c>
      <c r="D479" s="109" t="str">
        <f t="shared" si="116"/>
        <v>811000</v>
      </c>
      <c r="E479" s="93" t="s">
        <v>357</v>
      </c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>
        <f>VLOOKUP(B:B,'[3]תשלומים 2017'!B:R,15,0)</f>
        <v>3000</v>
      </c>
      <c r="Q479" s="95">
        <f>VLOOKUP(B:B,'[3]דוח כספי 10.17 מעודכן'!A:D,4,0)</f>
        <v>0</v>
      </c>
      <c r="R479" s="95">
        <f>VLOOKUP(B:B,'[3]תשלומים 2017'!B:T,17,0)</f>
        <v>0</v>
      </c>
      <c r="S479" s="95">
        <f t="shared" ref="S479:S484" si="117">Q479/10*12</f>
        <v>0</v>
      </c>
      <c r="T479" s="95">
        <f>VLOOKUP('פירוט תקציב 2017 ו 2018'!B479,'תשלומים 2017'!$A$2:$Q$391,17,0)</f>
        <v>0</v>
      </c>
      <c r="U479" s="95">
        <v>3000</v>
      </c>
      <c r="V479" s="110"/>
      <c r="W479" s="110"/>
    </row>
    <row r="480" spans="2:23" ht="15">
      <c r="B480" s="92">
        <v>1811000540</v>
      </c>
      <c r="C480" s="109" t="str">
        <f t="shared" si="115"/>
        <v>540</v>
      </c>
      <c r="D480" s="109" t="str">
        <f t="shared" si="116"/>
        <v>811000</v>
      </c>
      <c r="E480" s="93" t="s">
        <v>438</v>
      </c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>
        <f>VLOOKUP(B:B,'[3]תשלומים 2017'!B:R,15,0)</f>
        <v>0</v>
      </c>
      <c r="Q480" s="95">
        <f>VLOOKUP(B:B,'[3]דוח כספי 10.17 מעודכן'!A:D,4,0)</f>
        <v>0</v>
      </c>
      <c r="R480" s="95">
        <f>VLOOKUP(B:B,'[3]תשלומים 2017'!B:T,17,0)</f>
        <v>0</v>
      </c>
      <c r="S480" s="95">
        <f t="shared" si="117"/>
        <v>0</v>
      </c>
      <c r="T480" s="95">
        <f>VLOOKUP('פירוט תקציב 2017 ו 2018'!B480,'תשלומים 2017'!$A$2:$Q$391,17,0)</f>
        <v>0</v>
      </c>
      <c r="U480" s="95">
        <v>0</v>
      </c>
      <c r="V480" s="110"/>
      <c r="W480" s="110"/>
    </row>
    <row r="481" spans="2:23" ht="15">
      <c r="B481" s="92">
        <v>1811000560</v>
      </c>
      <c r="C481" s="109" t="str">
        <f t="shared" si="115"/>
        <v>560</v>
      </c>
      <c r="D481" s="109" t="str">
        <f t="shared" si="116"/>
        <v>811000</v>
      </c>
      <c r="E481" s="93" t="s">
        <v>463</v>
      </c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>
        <f>VLOOKUP(B:B,'[3]תשלומים 2017'!B:R,15,0)</f>
        <v>0</v>
      </c>
      <c r="Q481" s="95">
        <f>VLOOKUP(B:B,'[3]דוח כספי 10.17 מעודכן'!A:D,4,0)</f>
        <v>0</v>
      </c>
      <c r="R481" s="95">
        <f>VLOOKUP(B:B,'[3]תשלומים 2017'!B:T,17,0)</f>
        <v>0</v>
      </c>
      <c r="S481" s="95">
        <f t="shared" si="117"/>
        <v>0</v>
      </c>
      <c r="T481" s="95">
        <f>VLOOKUP('פירוט תקציב 2017 ו 2018'!B481,'תשלומים 2017'!$A$2:$Q$391,17,0)</f>
        <v>0</v>
      </c>
      <c r="U481" s="95">
        <v>0</v>
      </c>
      <c r="V481" s="110"/>
      <c r="W481" s="110"/>
    </row>
    <row r="482" spans="2:23" ht="15">
      <c r="B482" s="92">
        <v>1811000810</v>
      </c>
      <c r="C482" s="109" t="str">
        <f t="shared" si="115"/>
        <v>810</v>
      </c>
      <c r="D482" s="109" t="str">
        <f t="shared" si="116"/>
        <v>811000</v>
      </c>
      <c r="E482" s="93" t="s">
        <v>463</v>
      </c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>
        <f>VLOOKUP(B:B,'[3]תשלומים 2017'!B:R,15,0)</f>
        <v>0</v>
      </c>
      <c r="Q482" s="95">
        <f>VLOOKUP(B:B,'[3]דוח כספי 10.17 מעודכן'!A:D,4,0)</f>
        <v>0</v>
      </c>
      <c r="R482" s="95">
        <f>VLOOKUP(B:B,'[3]תשלומים 2017'!B:T,17,0)</f>
        <v>0</v>
      </c>
      <c r="S482" s="95">
        <f t="shared" si="117"/>
        <v>0</v>
      </c>
      <c r="T482" s="95">
        <f>VLOOKUP('פירוט תקציב 2017 ו 2018'!B482,'תשלומים 2017'!$A$2:$Q$391,17,0)</f>
        <v>0</v>
      </c>
      <c r="U482" s="95">
        <v>0</v>
      </c>
      <c r="V482" s="110"/>
      <c r="W482" s="110"/>
    </row>
    <row r="483" spans="2:23" ht="15">
      <c r="B483" s="92">
        <v>1811200580</v>
      </c>
      <c r="C483" s="109" t="str">
        <f t="shared" si="115"/>
        <v>580</v>
      </c>
      <c r="D483" s="109" t="str">
        <f t="shared" si="116"/>
        <v>811200</v>
      </c>
      <c r="E483" s="93" t="s">
        <v>464</v>
      </c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>
        <f>VLOOKUP(B:B,'[3]תשלומים 2017'!B:R,15,0)</f>
        <v>0</v>
      </c>
      <c r="Q483" s="95">
        <f>VLOOKUP(B:B,'[3]דוח כספי 10.17 מעודכן'!A:D,4,0)</f>
        <v>0</v>
      </c>
      <c r="R483" s="95">
        <f>VLOOKUP(B:B,'[3]תשלומים 2017'!B:T,17,0)</f>
        <v>0</v>
      </c>
      <c r="S483" s="95">
        <f t="shared" si="117"/>
        <v>0</v>
      </c>
      <c r="T483" s="95">
        <f>VLOOKUP('פירוט תקציב 2017 ו 2018'!B483,'תשלומים 2017'!$A$2:$Q$391,17,0)</f>
        <v>0</v>
      </c>
      <c r="U483" s="95">
        <v>0</v>
      </c>
      <c r="V483" s="110"/>
      <c r="W483" s="110"/>
    </row>
    <row r="484" spans="2:23" ht="15">
      <c r="B484" s="92">
        <v>1811200810</v>
      </c>
      <c r="C484" s="109" t="str">
        <f t="shared" si="115"/>
        <v>810</v>
      </c>
      <c r="D484" s="109" t="str">
        <f t="shared" si="116"/>
        <v>811200</v>
      </c>
      <c r="E484" s="93" t="s">
        <v>464</v>
      </c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>
        <f>VLOOKUP(B:B,'[3]תשלומים 2017'!B:R,15,0)</f>
        <v>550000</v>
      </c>
      <c r="Q484" s="95">
        <f>VLOOKUP(B:B,'[3]דוח כספי 10.17 מעודכן'!A:D,4,0)</f>
        <v>399718</v>
      </c>
      <c r="R484" s="95">
        <v>450000</v>
      </c>
      <c r="S484" s="95">
        <f t="shared" si="117"/>
        <v>479661.60000000003</v>
      </c>
      <c r="T484" s="95">
        <f>VLOOKUP('פירוט תקציב 2017 ו 2018'!B484,'תשלומים 2017'!$A$2:$Q$391,17,0)</f>
        <v>400000</v>
      </c>
      <c r="U484" s="95">
        <v>480000</v>
      </c>
      <c r="V484" s="110"/>
      <c r="W484" s="110"/>
    </row>
    <row r="485" spans="2:23" ht="15">
      <c r="B485" s="28"/>
      <c r="C485" s="29"/>
      <c r="D485" s="29"/>
      <c r="E485" s="29" t="s">
        <v>465</v>
      </c>
      <c r="F485" s="30" t="e">
        <f>SUM(#REF!)</f>
        <v>#REF!</v>
      </c>
      <c r="G485" s="30" t="e">
        <f>SUM(#REF!)</f>
        <v>#REF!</v>
      </c>
      <c r="H485" s="30" t="e">
        <f>SUM(#REF!)</f>
        <v>#REF!</v>
      </c>
      <c r="I485" s="30" t="e">
        <f>SUM(#REF!)</f>
        <v>#REF!</v>
      </c>
      <c r="J485" s="30" t="e">
        <f>SUM(#REF!)</f>
        <v>#REF!</v>
      </c>
      <c r="K485" s="30" t="e">
        <f>SUM(#REF!)</f>
        <v>#REF!</v>
      </c>
      <c r="L485" s="30" t="e">
        <f>SUM(#REF!)</f>
        <v>#REF!</v>
      </c>
      <c r="M485" s="30" t="e">
        <f>SUM(#REF!)</f>
        <v>#REF!</v>
      </c>
      <c r="N485" s="30" t="e">
        <f>SUM(#REF!)</f>
        <v>#REF!</v>
      </c>
      <c r="O485" s="30" t="e">
        <f>SUM(#REF!)</f>
        <v>#REF!</v>
      </c>
      <c r="P485" s="30">
        <f t="shared" ref="P485:W485" si="118">SUM(P478:P484)</f>
        <v>1047000</v>
      </c>
      <c r="Q485" s="30">
        <f t="shared" si="118"/>
        <v>805370.44</v>
      </c>
      <c r="R485" s="30">
        <f t="shared" si="118"/>
        <v>1005000</v>
      </c>
      <c r="S485" s="30">
        <f t="shared" si="118"/>
        <v>1020531.52</v>
      </c>
      <c r="T485" s="30">
        <f t="shared" si="118"/>
        <v>970000</v>
      </c>
      <c r="U485" s="30">
        <f t="shared" si="118"/>
        <v>1043000</v>
      </c>
      <c r="V485" s="112">
        <f t="shared" si="118"/>
        <v>2.48</v>
      </c>
      <c r="W485" s="112">
        <f t="shared" si="118"/>
        <v>2.4900000000000002</v>
      </c>
    </row>
    <row r="486" spans="2:23" ht="15">
      <c r="B486" s="92">
        <v>1812000560</v>
      </c>
      <c r="C486" s="109" t="str">
        <f t="shared" si="115"/>
        <v>560</v>
      </c>
      <c r="D486" s="109" t="str">
        <f t="shared" ref="D486:D498" si="119">MID(B486,2,6)</f>
        <v>812000</v>
      </c>
      <c r="E486" s="93" t="s">
        <v>466</v>
      </c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>
        <f>VLOOKUP(B:B,'[3]תשלומים 2017'!B:R,15,0)</f>
        <v>44000</v>
      </c>
      <c r="Q486" s="95">
        <f>VLOOKUP(B:B,'[3]דוח כספי 10.17 מעודכן'!A:D,4,0)</f>
        <v>6971</v>
      </c>
      <c r="R486" s="95">
        <f>VLOOKUP(B:B,'[3]תשלומים 2017'!B:T,17,0)</f>
        <v>9000</v>
      </c>
      <c r="S486" s="95">
        <f>Q486/10*12</f>
        <v>8365.2000000000007</v>
      </c>
      <c r="T486" s="95">
        <f>VLOOKUP('פירוט תקציב 2017 ו 2018'!B486,'תשלומים 2017'!$A$2:$Q$391,17,0)</f>
        <v>9000</v>
      </c>
      <c r="U486" s="95">
        <v>9000</v>
      </c>
      <c r="V486" s="110"/>
      <c r="W486" s="110"/>
    </row>
    <row r="487" spans="2:23" ht="15">
      <c r="B487" s="92">
        <v>1812200110</v>
      </c>
      <c r="C487" s="109" t="str">
        <f t="shared" si="115"/>
        <v>110</v>
      </c>
      <c r="D487" s="109" t="str">
        <f t="shared" si="119"/>
        <v>812200</v>
      </c>
      <c r="E487" s="93" t="s">
        <v>462</v>
      </c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>
        <f>VLOOKUP(B:B,'[3]תשלומים 2017'!B:R,15,0)</f>
        <v>3668000</v>
      </c>
      <c r="Q487" s="95">
        <f>VLOOKUP(B:B,'[3]דוח כספי 10.17 מעודכן'!A:D,4,0)</f>
        <v>2842845.45</v>
      </c>
      <c r="R487" s="95">
        <f>VLOOKUP(B:B,'[3]תשלומים 2017'!B:T,17,0)</f>
        <v>3910000</v>
      </c>
      <c r="S487" s="95">
        <f>Q487/9*12</f>
        <v>3790460.6</v>
      </c>
      <c r="T487" s="95">
        <f>VLOOKUP('פירוט תקציב 2017 ו 2018'!B487,'תשלומים 2017'!$A$2:$Q$391,17,0)</f>
        <v>3910000</v>
      </c>
      <c r="U487" s="95">
        <v>3915000</v>
      </c>
      <c r="V487" s="96">
        <v>33.14</v>
      </c>
      <c r="W487" s="96">
        <f>33.14+3.14</f>
        <v>36.28</v>
      </c>
    </row>
    <row r="488" spans="2:23" ht="15">
      <c r="B488" s="92">
        <v>1812200410</v>
      </c>
      <c r="C488" s="109" t="str">
        <f t="shared" si="115"/>
        <v>410</v>
      </c>
      <c r="D488" s="109" t="str">
        <f t="shared" si="119"/>
        <v>812200</v>
      </c>
      <c r="E488" s="93" t="s">
        <v>467</v>
      </c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>
        <f>VLOOKUP(B:B,'[3]תשלומים 2017'!B:R,15,0)</f>
        <v>16000</v>
      </c>
      <c r="Q488" s="95">
        <f>VLOOKUP(B:B,'[3]דוח כספי 10.17 מעודכן'!A:D,4,0)</f>
        <v>0</v>
      </c>
      <c r="R488" s="95">
        <f>VLOOKUP(B:B,'[3]תשלומים 2017'!B:T,17,0)</f>
        <v>0</v>
      </c>
      <c r="S488" s="95">
        <f t="shared" ref="S488:S496" si="120">Q488/10*12</f>
        <v>0</v>
      </c>
      <c r="T488" s="95">
        <f>VLOOKUP('פירוט תקציב 2017 ו 2018'!B488,'תשלומים 2017'!$A$2:$Q$391,17,0)</f>
        <v>0</v>
      </c>
      <c r="U488" s="95">
        <v>0</v>
      </c>
      <c r="V488" s="110"/>
      <c r="W488" s="110"/>
    </row>
    <row r="489" spans="2:23" ht="15">
      <c r="B489" s="92">
        <v>1812200431</v>
      </c>
      <c r="C489" s="109" t="str">
        <f t="shared" si="115"/>
        <v>431</v>
      </c>
      <c r="D489" s="109" t="str">
        <f t="shared" si="119"/>
        <v>812200</v>
      </c>
      <c r="E489" s="93" t="s">
        <v>468</v>
      </c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>
        <f>VLOOKUP(B:B,'[3]תשלומים 2017'!B:R,15,0)</f>
        <v>119000</v>
      </c>
      <c r="Q489" s="95">
        <f>VLOOKUP(B:B,'[3]דוח כספי 10.17 מעודכן'!A:D,4,0)</f>
        <v>84853.04</v>
      </c>
      <c r="R489" s="95">
        <f>VLOOKUP(B:B,'[3]תשלומים 2017'!B:T,17,0)</f>
        <v>119000</v>
      </c>
      <c r="S489" s="95">
        <f t="shared" si="120"/>
        <v>101823.648</v>
      </c>
      <c r="T489" s="95">
        <f>VLOOKUP('פירוט תקציב 2017 ו 2018'!B489,'תשלומים 2017'!$A$2:$Q$391,17,0)</f>
        <v>119000</v>
      </c>
      <c r="U489" s="95">
        <v>105000</v>
      </c>
      <c r="V489" s="110"/>
      <c r="W489" s="110"/>
    </row>
    <row r="490" spans="2:23" ht="15">
      <c r="B490" s="92">
        <v>1812200450</v>
      </c>
      <c r="C490" s="109" t="str">
        <f t="shared" si="115"/>
        <v>450</v>
      </c>
      <c r="D490" s="109" t="str">
        <f t="shared" si="119"/>
        <v>812200</v>
      </c>
      <c r="E490" s="93" t="s">
        <v>469</v>
      </c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>
        <f>VLOOKUP(B:B,'[3]תשלומים 2017'!B:R,15,0)</f>
        <v>0</v>
      </c>
      <c r="Q490" s="95">
        <f>VLOOKUP(B:B,'[3]דוח כספי 10.17 מעודכן'!A:D,4,0)</f>
        <v>0</v>
      </c>
      <c r="R490" s="95">
        <f>VLOOKUP(B:B,'[3]תשלומים 2017'!B:T,17,0)</f>
        <v>0</v>
      </c>
      <c r="S490" s="95">
        <f t="shared" si="120"/>
        <v>0</v>
      </c>
      <c r="T490" s="95">
        <f>VLOOKUP('פירוט תקציב 2017 ו 2018'!B490,'תשלומים 2017'!$A$2:$Q$391,17,0)</f>
        <v>0</v>
      </c>
      <c r="U490" s="95">
        <v>0</v>
      </c>
      <c r="V490" s="110"/>
      <c r="W490" s="110"/>
    </row>
    <row r="491" spans="2:23" ht="15">
      <c r="B491" s="92">
        <v>1812200650</v>
      </c>
      <c r="C491" s="109" t="str">
        <f t="shared" si="115"/>
        <v>650</v>
      </c>
      <c r="D491" s="109" t="str">
        <f t="shared" si="119"/>
        <v>812200</v>
      </c>
      <c r="E491" s="93" t="s">
        <v>470</v>
      </c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>
        <f>VLOOKUP(B:B,'[3]תשלומים 2017'!B:R,15,0)</f>
        <v>0</v>
      </c>
      <c r="Q491" s="95">
        <f>VLOOKUP(B:B,'[3]דוח כספי 10.17 מעודכן'!A:D,4,0)</f>
        <v>71784</v>
      </c>
      <c r="R491" s="95">
        <f>VLOOKUP(B:B,'[3]תשלומים 2017'!B:T,17,0)</f>
        <v>73000</v>
      </c>
      <c r="S491" s="95">
        <f t="shared" si="120"/>
        <v>86140.799999999988</v>
      </c>
      <c r="T491" s="95">
        <f>VLOOKUP('פירוט תקציב 2017 ו 2018'!B491,'תשלומים 2017'!$A$2:$Q$391,17,0)</f>
        <v>73000</v>
      </c>
      <c r="U491" s="95">
        <v>87000</v>
      </c>
      <c r="V491" s="110"/>
      <c r="W491" s="110"/>
    </row>
    <row r="492" spans="2:23" ht="15">
      <c r="B492" s="92">
        <v>1812200720</v>
      </c>
      <c r="C492" s="109" t="str">
        <f t="shared" si="115"/>
        <v>720</v>
      </c>
      <c r="D492" s="109" t="str">
        <f t="shared" si="119"/>
        <v>812200</v>
      </c>
      <c r="E492" s="93" t="s">
        <v>471</v>
      </c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>
        <f>VLOOKUP(B:B,'[3]תשלומים 2017'!B:R,15,0)</f>
        <v>15000</v>
      </c>
      <c r="Q492" s="95">
        <f>VLOOKUP(B:B,'[3]דוח כספי 10.17 מעודכן'!A:D,4,0)</f>
        <v>-51888</v>
      </c>
      <c r="R492" s="95">
        <f>VLOOKUP(B:B,'[3]תשלומים 2017'!B:T,17,0)</f>
        <v>0</v>
      </c>
      <c r="S492" s="95">
        <f t="shared" si="120"/>
        <v>-62265.600000000006</v>
      </c>
      <c r="T492" s="95">
        <f>VLOOKUP('פירוט תקציב 2017 ו 2018'!B492,'תשלומים 2017'!$A$2:$Q$391,17,0)</f>
        <v>0</v>
      </c>
      <c r="U492" s="95">
        <v>0</v>
      </c>
      <c r="V492" s="110"/>
      <c r="W492" s="110"/>
    </row>
    <row r="493" spans="2:23" ht="15">
      <c r="B493" s="92">
        <v>1812200740</v>
      </c>
      <c r="C493" s="109" t="str">
        <f t="shared" si="115"/>
        <v>740</v>
      </c>
      <c r="D493" s="109" t="str">
        <f t="shared" si="119"/>
        <v>812200</v>
      </c>
      <c r="E493" s="93" t="s">
        <v>472</v>
      </c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>
        <f>VLOOKUP(B:B,'[3]תשלומים 2017'!B:R,15,0)</f>
        <v>128000</v>
      </c>
      <c r="Q493" s="95">
        <f>VLOOKUP(B:B,'[3]דוח כספי 10.17 מעודכן'!A:D,4,0)</f>
        <v>16289</v>
      </c>
      <c r="R493" s="95">
        <f>VLOOKUP(B:B,'[3]תשלומים 2017'!B:T,17,0)</f>
        <v>20000</v>
      </c>
      <c r="S493" s="95">
        <f t="shared" si="120"/>
        <v>19546.800000000003</v>
      </c>
      <c r="T493" s="95">
        <f>VLOOKUP('פירוט תקציב 2017 ו 2018'!B493,'תשלומים 2017'!$A$2:$Q$391,17,0)</f>
        <v>20000</v>
      </c>
      <c r="U493" s="95">
        <v>20000</v>
      </c>
      <c r="V493" s="110"/>
      <c r="W493" s="110"/>
    </row>
    <row r="494" spans="2:23" ht="15">
      <c r="B494" s="92">
        <v>1812200750</v>
      </c>
      <c r="C494" s="109" t="str">
        <f t="shared" si="115"/>
        <v>750</v>
      </c>
      <c r="D494" s="109" t="str">
        <f t="shared" si="119"/>
        <v>812200</v>
      </c>
      <c r="E494" s="93" t="s">
        <v>473</v>
      </c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>
        <f>VLOOKUP(B:B,'[3]תשלומים 2017'!B:R,15,0)</f>
        <v>80000</v>
      </c>
      <c r="Q494" s="95">
        <f>VLOOKUP(B:B,'[3]דוח כספי 10.17 מעודכן'!A:D,4,0)</f>
        <v>16244.37</v>
      </c>
      <c r="R494" s="95">
        <f>VLOOKUP(B:B,'[3]תשלומים 2017'!B:T,17,0)</f>
        <v>20000</v>
      </c>
      <c r="S494" s="95">
        <f t="shared" si="120"/>
        <v>19493.244000000002</v>
      </c>
      <c r="T494" s="95">
        <f>VLOOKUP('פירוט תקציב 2017 ו 2018'!B494,'תשלומים 2017'!$A$2:$Q$391,17,0)</f>
        <v>20000</v>
      </c>
      <c r="U494" s="95">
        <v>20000</v>
      </c>
      <c r="V494" s="110"/>
      <c r="W494" s="110"/>
    </row>
    <row r="495" spans="2:23" ht="15">
      <c r="B495" s="100">
        <v>1812200810</v>
      </c>
      <c r="C495" s="101" t="str">
        <f t="shared" si="115"/>
        <v>810</v>
      </c>
      <c r="D495" s="101" t="str">
        <f t="shared" si="119"/>
        <v>812200</v>
      </c>
      <c r="E495" s="102" t="s">
        <v>97</v>
      </c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>
        <f>VLOOKUP(B:B,'[3]תשלומים 2017'!B:R,15,0)</f>
        <v>1885000</v>
      </c>
      <c r="Q495" s="103">
        <f>VLOOKUP(B:B,'[3]דוח כספי 10.17 מעודכן'!A:D,4,0)</f>
        <v>1630984.26</v>
      </c>
      <c r="R495" s="103">
        <f>VLOOKUP(B:B,'[3]תשלומים 2017'!B:T,17,0)</f>
        <v>2154000</v>
      </c>
      <c r="S495" s="103">
        <f t="shared" si="120"/>
        <v>1957181.1120000002</v>
      </c>
      <c r="T495" s="95">
        <f>VLOOKUP('פירוט תקציב 2017 ו 2018'!B495,'תשלומים 2017'!$A$2:$Q$391,17,0)</f>
        <v>2154000</v>
      </c>
      <c r="U495" s="103">
        <v>2155000</v>
      </c>
      <c r="V495" s="104"/>
      <c r="W495" s="104"/>
    </row>
    <row r="496" spans="2:23" ht="15">
      <c r="B496" s="100">
        <v>1812210810</v>
      </c>
      <c r="C496" s="101" t="str">
        <f t="shared" si="115"/>
        <v>810</v>
      </c>
      <c r="D496" s="101" t="str">
        <f t="shared" si="119"/>
        <v>812210</v>
      </c>
      <c r="E496" s="102" t="s">
        <v>95</v>
      </c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>
        <f>VLOOKUP(B:B,'[3]תשלומים 2017'!B:R,15,0)</f>
        <v>0</v>
      </c>
      <c r="Q496" s="103">
        <f>VLOOKUP(B:B,'[3]דוח כספי 10.17 מעודכן'!A:D,4,0)</f>
        <v>0</v>
      </c>
      <c r="R496" s="103">
        <v>800000</v>
      </c>
      <c r="S496" s="103">
        <f t="shared" si="120"/>
        <v>0</v>
      </c>
      <c r="T496" s="95">
        <f>VLOOKUP('פירוט תקציב 2017 ו 2018'!B496,'תשלומים 2017'!$A$2:$Q$391,17,0)</f>
        <v>1320000</v>
      </c>
      <c r="U496" s="103">
        <v>0</v>
      </c>
      <c r="V496" s="104"/>
      <c r="W496" s="104"/>
    </row>
    <row r="497" spans="2:23" ht="15">
      <c r="B497" s="100">
        <v>1812230810</v>
      </c>
      <c r="C497" s="101" t="str">
        <f t="shared" si="115"/>
        <v>810</v>
      </c>
      <c r="D497" s="101" t="str">
        <f t="shared" si="119"/>
        <v>812230</v>
      </c>
      <c r="E497" s="102" t="s">
        <v>95</v>
      </c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>
        <v>0</v>
      </c>
      <c r="Q497" s="103">
        <v>0</v>
      </c>
      <c r="R497" s="103">
        <v>0</v>
      </c>
      <c r="S497" s="103">
        <v>0</v>
      </c>
      <c r="T497" s="95">
        <v>0</v>
      </c>
      <c r="U497" s="103">
        <v>750000</v>
      </c>
      <c r="V497" s="104"/>
      <c r="W497" s="104"/>
    </row>
    <row r="498" spans="2:23" ht="15">
      <c r="B498" s="100">
        <v>1812210110</v>
      </c>
      <c r="C498" s="127" t="str">
        <f t="shared" si="115"/>
        <v>110</v>
      </c>
      <c r="D498" s="127" t="str">
        <f t="shared" si="119"/>
        <v>812210</v>
      </c>
      <c r="E498" s="25" t="s">
        <v>475</v>
      </c>
      <c r="F498" s="128"/>
      <c r="G498" s="128"/>
      <c r="H498" s="128"/>
      <c r="I498" s="128"/>
      <c r="J498" s="128"/>
      <c r="K498" s="128"/>
      <c r="L498" s="128"/>
      <c r="M498" s="128"/>
      <c r="N498" s="128"/>
      <c r="O498" s="128"/>
      <c r="P498" s="129">
        <v>0</v>
      </c>
      <c r="Q498" s="129">
        <v>0</v>
      </c>
      <c r="R498" s="129">
        <v>0</v>
      </c>
      <c r="S498" s="129">
        <v>0</v>
      </c>
      <c r="T498" s="95">
        <v>0</v>
      </c>
      <c r="U498" s="129">
        <v>204000</v>
      </c>
      <c r="V498" s="96">
        <v>0</v>
      </c>
      <c r="W498" s="96">
        <v>2.04</v>
      </c>
    </row>
    <row r="499" spans="2:23" ht="15">
      <c r="B499" s="100">
        <v>1812200432</v>
      </c>
      <c r="C499" s="101">
        <v>432</v>
      </c>
      <c r="D499" s="101">
        <v>812200</v>
      </c>
      <c r="E499" s="102" t="s">
        <v>477</v>
      </c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>
        <v>0</v>
      </c>
      <c r="Q499" s="103">
        <v>0</v>
      </c>
      <c r="R499" s="103">
        <v>65000</v>
      </c>
      <c r="S499" s="103">
        <v>70170</v>
      </c>
      <c r="T499" s="95">
        <v>0</v>
      </c>
      <c r="U499" s="103">
        <v>65000</v>
      </c>
      <c r="V499" s="104"/>
      <c r="W499" s="104"/>
    </row>
    <row r="500" spans="2:23" ht="15">
      <c r="B500" s="28"/>
      <c r="C500" s="29"/>
      <c r="D500" s="29"/>
      <c r="E500" s="29" t="s">
        <v>478</v>
      </c>
      <c r="F500" s="30" t="e">
        <f>SUM(#REF!)</f>
        <v>#REF!</v>
      </c>
      <c r="G500" s="30" t="e">
        <f>SUM(#REF!)</f>
        <v>#REF!</v>
      </c>
      <c r="H500" s="30" t="e">
        <f>SUM(#REF!)</f>
        <v>#REF!</v>
      </c>
      <c r="I500" s="30" t="e">
        <f>SUM(#REF!)</f>
        <v>#REF!</v>
      </c>
      <c r="J500" s="30" t="e">
        <f>SUM(#REF!)</f>
        <v>#REF!</v>
      </c>
      <c r="K500" s="30" t="e">
        <f>SUM(#REF!)</f>
        <v>#REF!</v>
      </c>
      <c r="L500" s="30" t="e">
        <f>SUM(#REF!)</f>
        <v>#REF!</v>
      </c>
      <c r="M500" s="30" t="e">
        <f>SUM(#REF!)</f>
        <v>#REF!</v>
      </c>
      <c r="N500" s="30" t="e">
        <f>SUM(#REF!)</f>
        <v>#REF!</v>
      </c>
      <c r="O500" s="30" t="e">
        <f>SUM(#REF!)</f>
        <v>#REF!</v>
      </c>
      <c r="P500" s="30">
        <f t="shared" ref="P500:R500" si="121">SUM(P486:P499)</f>
        <v>5955000</v>
      </c>
      <c r="Q500" s="30">
        <f t="shared" si="121"/>
        <v>4618083.12</v>
      </c>
      <c r="R500" s="30">
        <f t="shared" si="121"/>
        <v>7170000</v>
      </c>
      <c r="S500" s="30">
        <f>SUM(S486:S499)</f>
        <v>5990915.8039999995</v>
      </c>
      <c r="T500" s="30">
        <f>SUM(T486:T499)</f>
        <v>7625000</v>
      </c>
      <c r="U500" s="30">
        <f>SUM(U486:U499)</f>
        <v>7330000</v>
      </c>
      <c r="V500" s="112">
        <f>SUM(V486:V496)</f>
        <v>33.14</v>
      </c>
      <c r="W500" s="112">
        <f>SUM(W486:W496)</f>
        <v>36.28</v>
      </c>
    </row>
    <row r="501" spans="2:23" ht="15">
      <c r="B501" s="92">
        <v>1813200110</v>
      </c>
      <c r="C501" s="109" t="str">
        <f t="shared" si="115"/>
        <v>110</v>
      </c>
      <c r="D501" s="109" t="str">
        <f t="shared" ref="D501:D530" si="122">MID(B501,2,6)</f>
        <v>813200</v>
      </c>
      <c r="E501" s="93" t="s">
        <v>479</v>
      </c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>
        <f>VLOOKUP(B:B,'[3]תשלומים 2017'!B:R,15,0)</f>
        <v>109000</v>
      </c>
      <c r="Q501" s="95">
        <f>VLOOKUP(B:B,'[3]דוח כספי 10.17 מעודכן'!A:D,4,0)</f>
        <v>90434.66</v>
      </c>
      <c r="R501" s="95">
        <v>117000</v>
      </c>
      <c r="S501" s="95">
        <f>Q501/9*12</f>
        <v>120579.54666666668</v>
      </c>
      <c r="T501" s="95">
        <f>VLOOKUP('פירוט תקציב 2017 ו 2018'!B501,'תשלומים 2017'!$A$2:$Q$391,17,0)</f>
        <v>130000</v>
      </c>
      <c r="U501" s="95">
        <v>118000</v>
      </c>
      <c r="V501" s="96">
        <v>1</v>
      </c>
      <c r="W501" s="96">
        <v>1</v>
      </c>
    </row>
    <row r="502" spans="2:23" ht="15">
      <c r="B502" s="92">
        <v>1813200420</v>
      </c>
      <c r="C502" s="109" t="str">
        <f t="shared" si="115"/>
        <v>420</v>
      </c>
      <c r="D502" s="109" t="str">
        <f t="shared" si="122"/>
        <v>813200</v>
      </c>
      <c r="E502" s="93" t="s">
        <v>480</v>
      </c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>
        <f>VLOOKUP(B:B,'[3]תשלומים 2017'!B:R,15,0)</f>
        <v>39000</v>
      </c>
      <c r="Q502" s="95">
        <f>VLOOKUP(B:B,'[3]דוח כספי 10.17 מעודכן'!A:D,4,0)</f>
        <v>4601</v>
      </c>
      <c r="R502" s="95">
        <f>VLOOKUP(B:B,'[3]תשלומים 2017'!B:T,17,0)</f>
        <v>6000</v>
      </c>
      <c r="S502" s="95">
        <f t="shared" ref="S502:S513" si="123">Q502/10*12</f>
        <v>5521.2000000000007</v>
      </c>
      <c r="T502" s="95">
        <f>VLOOKUP('פירוט תקציב 2017 ו 2018'!B502,'תשלומים 2017'!$A$2:$Q$391,17,0)</f>
        <v>6000</v>
      </c>
      <c r="U502" s="95">
        <v>6000</v>
      </c>
      <c r="V502" s="110"/>
      <c r="W502" s="110"/>
    </row>
    <row r="503" spans="2:23" ht="15">
      <c r="B503" s="100">
        <v>1813200431</v>
      </c>
      <c r="C503" s="101" t="str">
        <f t="shared" si="115"/>
        <v>431</v>
      </c>
      <c r="D503" s="101" t="str">
        <f t="shared" si="122"/>
        <v>813200</v>
      </c>
      <c r="E503" s="102" t="s">
        <v>481</v>
      </c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>
        <f>VLOOKUP(B:B,'[3]תשלומים 2017'!B:R,15,0)</f>
        <v>199000</v>
      </c>
      <c r="Q503" s="103">
        <f>VLOOKUP(B:B,'[3]דוח כספי 10.17 מעודכן'!A:D,4,0)</f>
        <v>95541.68</v>
      </c>
      <c r="R503" s="103">
        <f>VLOOKUP(B:B,'[3]תשלומים 2017'!B:T,17,0)</f>
        <v>115000</v>
      </c>
      <c r="S503" s="103">
        <f t="shared" si="123"/>
        <v>114650.016</v>
      </c>
      <c r="T503" s="95">
        <f>VLOOKUP('פירוט תקציב 2017 ו 2018'!B503,'תשלומים 2017'!$A$2:$Q$391,17,0)</f>
        <v>115000</v>
      </c>
      <c r="U503" s="103">
        <v>115000</v>
      </c>
      <c r="V503" s="104"/>
      <c r="W503" s="104"/>
    </row>
    <row r="504" spans="2:23" ht="15">
      <c r="B504" s="100">
        <v>1813200432</v>
      </c>
      <c r="C504" s="101" t="str">
        <f t="shared" si="115"/>
        <v>432</v>
      </c>
      <c r="D504" s="101" t="str">
        <f t="shared" si="122"/>
        <v>813200</v>
      </c>
      <c r="E504" s="102" t="s">
        <v>325</v>
      </c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>
        <f>VLOOKUP(B:B,'[3]תשלומים 2017'!B:R,15,0)</f>
        <v>75000</v>
      </c>
      <c r="Q504" s="103">
        <f>VLOOKUP(B:B,'[3]דוח כספי 10.17 מעודכן'!A:D,4,0)</f>
        <v>24282</v>
      </c>
      <c r="R504" s="103">
        <f>VLOOKUP(B:B,'[3]תשלומים 2017'!B:T,17,0)</f>
        <v>24500</v>
      </c>
      <c r="S504" s="103">
        <v>24282</v>
      </c>
      <c r="T504" s="95">
        <f>VLOOKUP('פירוט תקציב 2017 ו 2018'!B504,'תשלומים 2017'!$A$2:$Q$391,17,0)</f>
        <v>24500</v>
      </c>
      <c r="U504" s="103">
        <v>24500</v>
      </c>
      <c r="V504" s="104"/>
      <c r="W504" s="104"/>
    </row>
    <row r="505" spans="2:23" ht="15">
      <c r="B505" s="100">
        <v>1813200433</v>
      </c>
      <c r="C505" s="101" t="str">
        <f t="shared" si="115"/>
        <v>433</v>
      </c>
      <c r="D505" s="101" t="str">
        <f t="shared" si="122"/>
        <v>813200</v>
      </c>
      <c r="E505" s="102" t="s">
        <v>482</v>
      </c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>
        <f>VLOOKUP(B:B,'[3]תשלומים 2017'!B:R,15,0)</f>
        <v>2000</v>
      </c>
      <c r="Q505" s="103">
        <f>VLOOKUP(B:B,'[3]דוח כספי 10.17 מעודכן'!A:D,4,0)</f>
        <v>1590</v>
      </c>
      <c r="R505" s="103">
        <f>VLOOKUP(B:B,'[3]תשלומים 2017'!B:T,17,0)</f>
        <v>2000</v>
      </c>
      <c r="S505" s="103">
        <f t="shared" si="123"/>
        <v>1908</v>
      </c>
      <c r="T505" s="95">
        <f>VLOOKUP('פירוט תקציב 2017 ו 2018'!B505,'תשלומים 2017'!$A$2:$Q$391,17,0)</f>
        <v>2000</v>
      </c>
      <c r="U505" s="103">
        <v>2000</v>
      </c>
      <c r="V505" s="104"/>
      <c r="W505" s="104"/>
    </row>
    <row r="506" spans="2:23" ht="15">
      <c r="B506" s="100">
        <v>1813200440</v>
      </c>
      <c r="C506" s="101" t="str">
        <f t="shared" si="115"/>
        <v>440</v>
      </c>
      <c r="D506" s="101" t="str">
        <f t="shared" si="122"/>
        <v>813200</v>
      </c>
      <c r="E506" s="102" t="s">
        <v>354</v>
      </c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>
        <f>VLOOKUP(B:B,'[3]תשלומים 2017'!B:R,15,0)</f>
        <v>150000</v>
      </c>
      <c r="Q506" s="103">
        <f>VLOOKUP(B:B,'[3]דוח כספי 10.17 מעודכן'!A:D,4,0)</f>
        <v>36828.400000000001</v>
      </c>
      <c r="R506" s="103">
        <v>150000</v>
      </c>
      <c r="S506" s="103">
        <f t="shared" si="123"/>
        <v>44194.080000000002</v>
      </c>
      <c r="T506" s="95">
        <f>VLOOKUP('פירוט תקציב 2017 ו 2018'!B506,'תשלומים 2017'!$A$2:$Q$391,17,0)</f>
        <v>0</v>
      </c>
      <c r="U506" s="103">
        <v>150000</v>
      </c>
      <c r="V506" s="104"/>
      <c r="W506" s="104"/>
    </row>
    <row r="507" spans="2:23" ht="15">
      <c r="B507" s="100">
        <v>1813200450</v>
      </c>
      <c r="C507" s="101" t="str">
        <f t="shared" si="115"/>
        <v>450</v>
      </c>
      <c r="D507" s="101" t="str">
        <f t="shared" si="122"/>
        <v>813200</v>
      </c>
      <c r="E507" s="102" t="s">
        <v>483</v>
      </c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>
        <f>VLOOKUP(B:B,'[3]תשלומים 2017'!B:R,15,0)</f>
        <v>9000</v>
      </c>
      <c r="Q507" s="103">
        <f>VLOOKUP(B:B,'[3]דוח כספי 10.17 מעודכן'!A:D,4,0)</f>
        <v>0</v>
      </c>
      <c r="R507" s="103">
        <f>VLOOKUP(B:B,'[3]תשלומים 2017'!B:T,17,0)</f>
        <v>0</v>
      </c>
      <c r="S507" s="103">
        <f t="shared" si="123"/>
        <v>0</v>
      </c>
      <c r="T507" s="95">
        <f>VLOOKUP('פירוט תקציב 2017 ו 2018'!B507,'תשלומים 2017'!$A$2:$Q$391,17,0)</f>
        <v>0</v>
      </c>
      <c r="U507" s="103">
        <v>0</v>
      </c>
      <c r="V507" s="104"/>
      <c r="W507" s="104"/>
    </row>
    <row r="508" spans="2:23" ht="15">
      <c r="B508" s="100">
        <v>1813200470</v>
      </c>
      <c r="C508" s="101" t="str">
        <f t="shared" si="115"/>
        <v>470</v>
      </c>
      <c r="D508" s="101" t="str">
        <f t="shared" si="122"/>
        <v>813200</v>
      </c>
      <c r="E508" s="102" t="s">
        <v>484</v>
      </c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>
        <f>VLOOKUP(B:B,'[3]תשלומים 2017'!B:R,15,0)</f>
        <v>43000</v>
      </c>
      <c r="Q508" s="103">
        <f>VLOOKUP(B:B,'[3]דוח כספי 10.17 מעודכן'!A:D,4,0)</f>
        <v>30447</v>
      </c>
      <c r="R508" s="103">
        <f>VLOOKUP(B:B,'[3]תשלומים 2017'!B:T,17,0)</f>
        <v>40000</v>
      </c>
      <c r="S508" s="103">
        <f t="shared" si="123"/>
        <v>36536.399999999994</v>
      </c>
      <c r="T508" s="95">
        <f>VLOOKUP('פירוט תקציב 2017 ו 2018'!B508,'תשלומים 2017'!$A$2:$Q$391,17,0)</f>
        <v>40000</v>
      </c>
      <c r="U508" s="103">
        <v>37000</v>
      </c>
      <c r="V508" s="104"/>
      <c r="W508" s="104"/>
    </row>
    <row r="509" spans="2:23" ht="15">
      <c r="B509" s="100">
        <v>1813200540</v>
      </c>
      <c r="C509" s="101" t="str">
        <f t="shared" si="115"/>
        <v>540</v>
      </c>
      <c r="D509" s="101" t="str">
        <f t="shared" si="122"/>
        <v>813200</v>
      </c>
      <c r="E509" s="102" t="s">
        <v>485</v>
      </c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>
        <f>VLOOKUP(B:B,'[3]תשלומים 2017'!B:R,15,0)</f>
        <v>21000</v>
      </c>
      <c r="Q509" s="103">
        <f>VLOOKUP(B:B,'[3]דוח כספי 10.17 מעודכן'!A:D,4,0)</f>
        <v>28950.81</v>
      </c>
      <c r="R509" s="103">
        <f>VLOOKUP(B:B,'[3]תשלומים 2017'!B:T,17,0)</f>
        <v>35000</v>
      </c>
      <c r="S509" s="103">
        <f t="shared" si="123"/>
        <v>34740.972000000002</v>
      </c>
      <c r="T509" s="95">
        <f>VLOOKUP('פירוט תקציב 2017 ו 2018'!B509,'תשלומים 2017'!$A$2:$Q$391,17,0)</f>
        <v>35000</v>
      </c>
      <c r="U509" s="103">
        <v>35000</v>
      </c>
      <c r="V509" s="104"/>
      <c r="W509" s="104"/>
    </row>
    <row r="510" spans="2:23" ht="15">
      <c r="B510" s="92">
        <v>1813200560</v>
      </c>
      <c r="C510" s="109" t="str">
        <f t="shared" si="115"/>
        <v>560</v>
      </c>
      <c r="D510" s="109" t="str">
        <f t="shared" si="122"/>
        <v>813200</v>
      </c>
      <c r="E510" s="93" t="s">
        <v>486</v>
      </c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>
        <f>VLOOKUP(B:B,'[3]תשלומים 2017'!B:R,15,0)</f>
        <v>107000</v>
      </c>
      <c r="Q510" s="95">
        <f>VLOOKUP(B:B,'[3]דוח כספי 10.17 מעודכן'!A:D,4,0)</f>
        <v>17654</v>
      </c>
      <c r="R510" s="95">
        <f>VLOOKUP(B:B,'[3]תשלומים 2017'!B:T,17,0)</f>
        <v>22000</v>
      </c>
      <c r="S510" s="95">
        <f t="shared" si="123"/>
        <v>21184.800000000003</v>
      </c>
      <c r="T510" s="95">
        <f>VLOOKUP('פירוט תקציב 2017 ו 2018'!B510,'תשלומים 2017'!$A$2:$Q$391,17,0)</f>
        <v>22000</v>
      </c>
      <c r="U510" s="95">
        <v>22000</v>
      </c>
      <c r="V510" s="110"/>
      <c r="W510" s="110"/>
    </row>
    <row r="511" spans="2:23" ht="15">
      <c r="B511" s="92">
        <v>1813200720</v>
      </c>
      <c r="C511" s="109" t="str">
        <f t="shared" si="115"/>
        <v>720</v>
      </c>
      <c r="D511" s="109" t="str">
        <f t="shared" si="122"/>
        <v>813200</v>
      </c>
      <c r="E511" s="93" t="s">
        <v>487</v>
      </c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>
        <f>VLOOKUP(B:B,'[3]תשלומים 2017'!B:R,15,0)</f>
        <v>0</v>
      </c>
      <c r="Q511" s="95">
        <f>VLOOKUP(B:B,'[3]דוח כספי 10.17 מעודכן'!A:D,4,0)</f>
        <v>0</v>
      </c>
      <c r="R511" s="95">
        <f>VLOOKUP(B:B,'[3]תשלומים 2017'!B:T,17,0)</f>
        <v>0</v>
      </c>
      <c r="S511" s="95">
        <f t="shared" si="123"/>
        <v>0</v>
      </c>
      <c r="T511" s="95">
        <f>VLOOKUP('פירוט תקציב 2017 ו 2018'!B511,'תשלומים 2017'!$A$2:$Q$391,17,0)</f>
        <v>0</v>
      </c>
      <c r="U511" s="95">
        <v>0</v>
      </c>
      <c r="V511" s="110"/>
      <c r="W511" s="110"/>
    </row>
    <row r="512" spans="2:23" ht="15">
      <c r="B512" s="92">
        <v>1813200750</v>
      </c>
      <c r="C512" s="109" t="str">
        <f t="shared" si="115"/>
        <v>750</v>
      </c>
      <c r="D512" s="109" t="str">
        <f t="shared" si="122"/>
        <v>813200</v>
      </c>
      <c r="E512" s="93" t="s">
        <v>402</v>
      </c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>
        <f>VLOOKUP(B:B,'[3]תשלומים 2017'!B:R,15,0)</f>
        <v>35000</v>
      </c>
      <c r="Q512" s="95">
        <f>VLOOKUP(B:B,'[3]דוח כספי 10.17 מעודכן'!A:D,4,0)</f>
        <v>-23246</v>
      </c>
      <c r="R512" s="95">
        <f>VLOOKUP(B:B,'[3]תשלומים 2017'!B:T,17,0)</f>
        <v>0</v>
      </c>
      <c r="S512" s="95">
        <f t="shared" si="123"/>
        <v>-27895.199999999997</v>
      </c>
      <c r="T512" s="95">
        <f>VLOOKUP('פירוט תקציב 2017 ו 2018'!B512,'תשלומים 2017'!$A$2:$Q$391,17,0)</f>
        <v>0</v>
      </c>
      <c r="U512" s="95">
        <v>0</v>
      </c>
      <c r="V512" s="110"/>
      <c r="W512" s="110"/>
    </row>
    <row r="513" spans="2:23" ht="15">
      <c r="B513" s="92">
        <v>1813200930</v>
      </c>
      <c r="C513" s="109" t="str">
        <f t="shared" si="115"/>
        <v>930</v>
      </c>
      <c r="D513" s="109" t="str">
        <f t="shared" si="122"/>
        <v>813200</v>
      </c>
      <c r="E513" s="93" t="s">
        <v>390</v>
      </c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>
        <f>VLOOKUP(B:B,'[3]תשלומים 2017'!B:R,15,0)</f>
        <v>40000</v>
      </c>
      <c r="Q513" s="95">
        <f>VLOOKUP(B:B,'[3]דוח כספי 10.17 מעודכן'!A:D,4,0)</f>
        <v>0</v>
      </c>
      <c r="R513" s="95">
        <f>VLOOKUP(B:B,'[3]תשלומים 2017'!B:T,17,0)</f>
        <v>0</v>
      </c>
      <c r="S513" s="95">
        <f t="shared" si="123"/>
        <v>0</v>
      </c>
      <c r="T513" s="95">
        <f>VLOOKUP('פירוט תקציב 2017 ו 2018'!B513,'תשלומים 2017'!$A$2:$Q$391,17,0)</f>
        <v>0</v>
      </c>
      <c r="U513" s="95">
        <v>15000</v>
      </c>
      <c r="V513" s="110"/>
      <c r="W513" s="110"/>
    </row>
    <row r="514" spans="2:23" ht="15">
      <c r="B514" s="92">
        <v>1813210110</v>
      </c>
      <c r="C514" s="109" t="str">
        <f t="shared" si="115"/>
        <v>110</v>
      </c>
      <c r="D514" s="109" t="str">
        <f t="shared" si="122"/>
        <v>813210</v>
      </c>
      <c r="E514" s="93" t="s">
        <v>488</v>
      </c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>
        <f>VLOOKUP(B:B,'[3]תשלומים 2017'!B:R,15,0)</f>
        <v>348000</v>
      </c>
      <c r="Q514" s="95">
        <f>VLOOKUP(B:B,'[3]דוח כספי 10.17 מעודכן'!A:D,4,0)</f>
        <v>341853.44</v>
      </c>
      <c r="R514" s="95">
        <f>VLOOKUP(B:B,'[3]תשלומים 2017'!B:T,17,0)</f>
        <v>456000</v>
      </c>
      <c r="S514" s="95">
        <f>Q514/9*12</f>
        <v>455804.58666666667</v>
      </c>
      <c r="T514" s="95">
        <f>VLOOKUP('פירוט תקציב 2017 ו 2018'!B514,'תשלומים 2017'!$A$2:$Q$391,17,0)</f>
        <v>456000</v>
      </c>
      <c r="U514" s="95">
        <v>450000</v>
      </c>
      <c r="V514" s="96">
        <v>3.1</v>
      </c>
      <c r="W514" s="96">
        <v>3.1</v>
      </c>
    </row>
    <row r="515" spans="2:23" ht="15">
      <c r="B515" s="92">
        <v>1813210470</v>
      </c>
      <c r="C515" s="109" t="str">
        <f t="shared" si="115"/>
        <v>470</v>
      </c>
      <c r="D515" s="109" t="str">
        <f t="shared" si="122"/>
        <v>813210</v>
      </c>
      <c r="E515" s="93" t="s">
        <v>489</v>
      </c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>
        <f>VLOOKUP(B:B,'[3]תשלומים 2017'!B:R,15,0)</f>
        <v>0</v>
      </c>
      <c r="Q515" s="95">
        <f>VLOOKUP(B:B,'[3]דוח כספי 10.17 מעודכן'!A:D,4,0)</f>
        <v>200672</v>
      </c>
      <c r="R515" s="95">
        <f>VLOOKUP(B:B,'[3]תשלומים 2017'!B:T,17,0)</f>
        <v>201000</v>
      </c>
      <c r="S515" s="95">
        <f>Q515/10*12</f>
        <v>240806.40000000002</v>
      </c>
      <c r="T515" s="95">
        <f>VLOOKUP('פירוט תקציב 2017 ו 2018'!B515,'תשלומים 2017'!$A$2:$Q$391,17,0)</f>
        <v>201000</v>
      </c>
      <c r="U515" s="95">
        <v>0</v>
      </c>
      <c r="V515" s="110"/>
      <c r="W515" s="110"/>
    </row>
    <row r="516" spans="2:23" ht="15">
      <c r="B516" s="92">
        <v>1813210570</v>
      </c>
      <c r="C516" s="109" t="str">
        <f t="shared" si="115"/>
        <v>570</v>
      </c>
      <c r="D516" s="109" t="str">
        <f t="shared" si="122"/>
        <v>813210</v>
      </c>
      <c r="E516" s="93" t="s">
        <v>490</v>
      </c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>
        <f>VLOOKUP(B:B,'[3]תשלומים 2017'!B:R,15,0)</f>
        <v>0</v>
      </c>
      <c r="Q516" s="95">
        <f>VLOOKUP(B:B,'[3]דוח כספי 10.17 מעודכן'!A:D,4,0)</f>
        <v>68150</v>
      </c>
      <c r="R516" s="95">
        <f>VLOOKUP(B:B,'[3]תשלומים 2017'!B:T,17,0)</f>
        <v>82000</v>
      </c>
      <c r="S516" s="95">
        <f>Q516/10*12</f>
        <v>81780</v>
      </c>
      <c r="T516" s="95">
        <f>VLOOKUP('פירוט תקציב 2017 ו 2018'!B516,'תשלומים 2017'!$A$2:$Q$391,17,0)</f>
        <v>82000</v>
      </c>
      <c r="U516" s="95">
        <v>82000</v>
      </c>
      <c r="V516" s="110"/>
      <c r="W516" s="110"/>
    </row>
    <row r="517" spans="2:23" ht="15">
      <c r="B517" s="92">
        <v>1813210750</v>
      </c>
      <c r="C517" s="109" t="str">
        <f t="shared" si="115"/>
        <v>750</v>
      </c>
      <c r="D517" s="109" t="str">
        <f t="shared" si="122"/>
        <v>813210</v>
      </c>
      <c r="E517" s="93" t="s">
        <v>491</v>
      </c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>
        <f>VLOOKUP(B:B,'[3]תשלומים 2017'!B:R,15,0)</f>
        <v>0</v>
      </c>
      <c r="Q517" s="95">
        <f>VLOOKUP(B:B,'[3]דוח כספי 10.17 מעודכן'!A:D,4,0)</f>
        <v>33497</v>
      </c>
      <c r="R517" s="95">
        <f>VLOOKUP(B:B,'[3]תשלומים 2017'!B:T,17,0)</f>
        <v>40000</v>
      </c>
      <c r="S517" s="95">
        <f>Q517/10*12</f>
        <v>40196.399999999994</v>
      </c>
      <c r="T517" s="95">
        <f>VLOOKUP('פירוט תקציב 2017 ו 2018'!B517,'תשלומים 2017'!$A$2:$Q$391,17,0)</f>
        <v>40000</v>
      </c>
      <c r="U517" s="95">
        <v>50000</v>
      </c>
      <c r="V517" s="110"/>
      <c r="W517" s="110"/>
    </row>
    <row r="518" spans="2:23" ht="15">
      <c r="B518" s="92">
        <v>1813220110</v>
      </c>
      <c r="C518" s="109" t="str">
        <f t="shared" si="115"/>
        <v>110</v>
      </c>
      <c r="D518" s="109" t="str">
        <f t="shared" si="122"/>
        <v>813220</v>
      </c>
      <c r="E518" s="93" t="s">
        <v>492</v>
      </c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>
        <f>VLOOKUP(B:B,'[3]תשלומים 2017'!B:R,15,0)</f>
        <v>0</v>
      </c>
      <c r="Q518" s="95">
        <f>VLOOKUP(B:B,'[3]דוח כספי 10.17 מעודכן'!A:D,4,0)</f>
        <v>0</v>
      </c>
      <c r="R518" s="95">
        <f>VLOOKUP(B:B,'[3]תשלומים 2017'!B:T,17,0)</f>
        <v>0</v>
      </c>
      <c r="S518" s="95">
        <f>Q518/9*12</f>
        <v>0</v>
      </c>
      <c r="T518" s="95">
        <f>VLOOKUP('פירוט תקציב 2017 ו 2018'!B518,'תשלומים 2017'!$A$2:$Q$391,17,0)</f>
        <v>0</v>
      </c>
      <c r="U518" s="95">
        <v>0</v>
      </c>
      <c r="V518" s="96"/>
      <c r="W518" s="96"/>
    </row>
    <row r="519" spans="2:23" ht="15">
      <c r="B519" s="92">
        <v>1813301430</v>
      </c>
      <c r="C519" s="109" t="str">
        <f t="shared" si="115"/>
        <v>430</v>
      </c>
      <c r="D519" s="109" t="str">
        <f t="shared" si="122"/>
        <v>813301</v>
      </c>
      <c r="E519" s="93" t="s">
        <v>493</v>
      </c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>
        <v>0</v>
      </c>
      <c r="Q519" s="95">
        <v>0</v>
      </c>
      <c r="R519" s="95">
        <v>0</v>
      </c>
      <c r="S519" s="95">
        <v>0</v>
      </c>
      <c r="T519" s="95">
        <v>0</v>
      </c>
      <c r="U519" s="95">
        <v>275000</v>
      </c>
      <c r="V519" s="104"/>
      <c r="W519" s="104"/>
    </row>
    <row r="520" spans="2:23" ht="15">
      <c r="B520" s="92">
        <v>1813302430</v>
      </c>
      <c r="C520" s="109" t="str">
        <f t="shared" si="115"/>
        <v>430</v>
      </c>
      <c r="D520" s="109" t="str">
        <f t="shared" si="122"/>
        <v>813302</v>
      </c>
      <c r="E520" s="93" t="s">
        <v>494</v>
      </c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>
        <v>0</v>
      </c>
      <c r="Q520" s="95">
        <v>0</v>
      </c>
      <c r="R520" s="95">
        <v>0</v>
      </c>
      <c r="S520" s="95">
        <v>0</v>
      </c>
      <c r="T520" s="95">
        <v>0</v>
      </c>
      <c r="U520" s="95">
        <v>301000</v>
      </c>
      <c r="V520" s="104"/>
      <c r="W520" s="104"/>
    </row>
    <row r="521" spans="2:23" ht="15">
      <c r="B521" s="92">
        <v>1813303430</v>
      </c>
      <c r="C521" s="109" t="str">
        <f t="shared" si="115"/>
        <v>430</v>
      </c>
      <c r="D521" s="109" t="str">
        <f t="shared" si="122"/>
        <v>813303</v>
      </c>
      <c r="E521" s="93" t="s">
        <v>495</v>
      </c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>
        <v>0</v>
      </c>
      <c r="Q521" s="95">
        <v>0</v>
      </c>
      <c r="R521" s="95">
        <v>0</v>
      </c>
      <c r="S521" s="95">
        <v>0</v>
      </c>
      <c r="T521" s="95">
        <v>0</v>
      </c>
      <c r="U521" s="95">
        <v>185000</v>
      </c>
      <c r="V521" s="104"/>
      <c r="W521" s="104"/>
    </row>
    <row r="522" spans="2:23" ht="15">
      <c r="B522" s="28"/>
      <c r="C522" s="29"/>
      <c r="D522" s="29"/>
      <c r="E522" s="29" t="s">
        <v>496</v>
      </c>
      <c r="F522" s="30" t="e">
        <f>SUM(#REF!)</f>
        <v>#REF!</v>
      </c>
      <c r="G522" s="30" t="e">
        <f>SUM(#REF!)</f>
        <v>#REF!</v>
      </c>
      <c r="H522" s="30" t="e">
        <f>SUM(#REF!)</f>
        <v>#REF!</v>
      </c>
      <c r="I522" s="30" t="e">
        <f>SUM(#REF!)</f>
        <v>#REF!</v>
      </c>
      <c r="J522" s="30" t="e">
        <f>SUM(#REF!)</f>
        <v>#REF!</v>
      </c>
      <c r="K522" s="30" t="e">
        <f>SUM(#REF!)</f>
        <v>#REF!</v>
      </c>
      <c r="L522" s="30" t="e">
        <f>SUM(#REF!)</f>
        <v>#REF!</v>
      </c>
      <c r="M522" s="30" t="e">
        <f>SUM(#REF!)</f>
        <v>#REF!</v>
      </c>
      <c r="N522" s="30" t="e">
        <f>SUM(#REF!)</f>
        <v>#REF!</v>
      </c>
      <c r="O522" s="30" t="e">
        <f>SUM(#REF!)</f>
        <v>#REF!</v>
      </c>
      <c r="P522" s="30">
        <f t="shared" ref="P522:S522" si="124">SUM(P501:P521)</f>
        <v>1177000</v>
      </c>
      <c r="Q522" s="30">
        <f t="shared" si="124"/>
        <v>951255.99</v>
      </c>
      <c r="R522" s="30">
        <f t="shared" si="124"/>
        <v>1290500</v>
      </c>
      <c r="S522" s="30">
        <f t="shared" si="124"/>
        <v>1194289.2013333333</v>
      </c>
      <c r="T522" s="30">
        <f>SUM(T501:T521)</f>
        <v>1153500</v>
      </c>
      <c r="U522" s="30">
        <f>SUM(U501:U521)</f>
        <v>1867500</v>
      </c>
      <c r="V522" s="112">
        <f>SUM(V502:V518)</f>
        <v>3.1</v>
      </c>
      <c r="W522" s="112">
        <f>SUM(W502:W518)</f>
        <v>3.1</v>
      </c>
    </row>
    <row r="523" spans="2:23" ht="15">
      <c r="B523" s="92">
        <v>1813300110</v>
      </c>
      <c r="C523" s="109" t="str">
        <f t="shared" si="115"/>
        <v>110</v>
      </c>
      <c r="D523" s="109" t="str">
        <f t="shared" si="122"/>
        <v>813300</v>
      </c>
      <c r="E523" s="93" t="s">
        <v>497</v>
      </c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>
        <f>VLOOKUP(B:B,'[3]תשלומים 2017'!B:R,15,0)</f>
        <v>0</v>
      </c>
      <c r="Q523" s="95">
        <f>VLOOKUP(B:B,'[3]דוח כספי 10.17 מעודכן'!A:D,4,0)</f>
        <v>0</v>
      </c>
      <c r="R523" s="95">
        <f>VLOOKUP(B:B,'[3]תשלומים 2017'!B:T,17,0)</f>
        <v>0</v>
      </c>
      <c r="S523" s="95">
        <f>Q523/9*12</f>
        <v>0</v>
      </c>
      <c r="T523" s="95">
        <f>VLOOKUP('פירוט תקציב 2017 ו 2018'!B523,'תשלומים 2017'!$A$2:$Q$391,17,0)</f>
        <v>0</v>
      </c>
      <c r="U523" s="95">
        <v>0</v>
      </c>
      <c r="V523" s="96">
        <v>0</v>
      </c>
      <c r="W523" s="96">
        <v>0</v>
      </c>
    </row>
    <row r="524" spans="2:23" ht="15">
      <c r="B524" s="100">
        <v>1813300430</v>
      </c>
      <c r="C524" s="101" t="str">
        <f t="shared" si="115"/>
        <v>430</v>
      </c>
      <c r="D524" s="101" t="str">
        <f t="shared" si="122"/>
        <v>813300</v>
      </c>
      <c r="E524" s="102" t="s">
        <v>209</v>
      </c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>
        <f>VLOOKUP(B:B,'[3]תשלומים 2017'!B:R,15,0)</f>
        <v>0</v>
      </c>
      <c r="Q524" s="103">
        <f>VLOOKUP(B:B,'[3]דוח כספי 10.17 מעודכן'!A:D,4,0)</f>
        <v>130638</v>
      </c>
      <c r="R524" s="103"/>
      <c r="S524" s="103">
        <f>Q524/10*12</f>
        <v>156765.59999999998</v>
      </c>
      <c r="T524" s="95">
        <f>VLOOKUP('פירוט תקציב 2017 ו 2018'!B524,'תשלומים 2017'!$A$2:$Q$391,17,0)</f>
        <v>858000</v>
      </c>
      <c r="U524" s="103">
        <v>0</v>
      </c>
      <c r="V524" s="104"/>
      <c r="W524" s="104"/>
    </row>
    <row r="525" spans="2:23" ht="15">
      <c r="B525" s="92">
        <v>1813300780</v>
      </c>
      <c r="C525" s="109" t="str">
        <f t="shared" si="115"/>
        <v>780</v>
      </c>
      <c r="D525" s="109" t="str">
        <f t="shared" si="122"/>
        <v>813300</v>
      </c>
      <c r="E525" s="93" t="s">
        <v>499</v>
      </c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>
        <f>VLOOKUP(B:B,'[3]תשלומים 2017'!B:R,15,0)</f>
        <v>12000</v>
      </c>
      <c r="Q525" s="95">
        <f>VLOOKUP(B:B,'[3]דוח כספי 10.17 מעודכן'!A:D,4,0)</f>
        <v>0</v>
      </c>
      <c r="R525" s="95">
        <f>VLOOKUP(B:B,'[3]תשלומים 2017'!B:T,17,0)</f>
        <v>0</v>
      </c>
      <c r="S525" s="95">
        <f>Q525/10*12</f>
        <v>0</v>
      </c>
      <c r="T525" s="95">
        <f>VLOOKUP('פירוט תקציב 2017 ו 2018'!B525,'תשלומים 2017'!$A$2:$Q$391,17,0)</f>
        <v>0</v>
      </c>
      <c r="U525" s="95">
        <v>0</v>
      </c>
      <c r="V525" s="110"/>
      <c r="W525" s="110"/>
    </row>
    <row r="526" spans="2:23" ht="15">
      <c r="B526" s="92">
        <v>1813300810</v>
      </c>
      <c r="C526" s="109" t="str">
        <f t="shared" si="115"/>
        <v>810</v>
      </c>
      <c r="D526" s="109" t="str">
        <f t="shared" si="122"/>
        <v>813300</v>
      </c>
      <c r="E526" s="93" t="s">
        <v>500</v>
      </c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>
        <f>VLOOKUP(B:B,'[3]תשלומים 2017'!B:R,15,0)</f>
        <v>401000</v>
      </c>
      <c r="Q526" s="95">
        <f>VLOOKUP(B:B,'[3]דוח כספי 10.17 מעודכן'!A:D,4,0)</f>
        <v>588039</v>
      </c>
      <c r="R526" s="95">
        <f>VLOOKUP(B:B,'[3]תשלומים 2017'!B:T,17,0)</f>
        <v>588000</v>
      </c>
      <c r="S526" s="95">
        <f>Q526/10*12</f>
        <v>705646.8</v>
      </c>
      <c r="T526" s="95">
        <f>VLOOKUP('פירוט תקציב 2017 ו 2018'!B526,'תשלומים 2017'!$A$2:$Q$391,17,0)</f>
        <v>588000</v>
      </c>
      <c r="U526" s="95">
        <v>400000</v>
      </c>
      <c r="V526" s="110"/>
      <c r="W526" s="110"/>
    </row>
    <row r="527" spans="2:23" ht="15">
      <c r="B527" s="28"/>
      <c r="C527" s="29"/>
      <c r="D527" s="29"/>
      <c r="E527" s="29" t="s">
        <v>499</v>
      </c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>
        <f t="shared" ref="P527:W527" si="125">SUM(P523:P526)</f>
        <v>413000</v>
      </c>
      <c r="Q527" s="30">
        <f t="shared" si="125"/>
        <v>718677</v>
      </c>
      <c r="R527" s="30">
        <f t="shared" si="125"/>
        <v>588000</v>
      </c>
      <c r="S527" s="30">
        <f t="shared" si="125"/>
        <v>862412.4</v>
      </c>
      <c r="T527" s="30">
        <f t="shared" si="125"/>
        <v>1446000</v>
      </c>
      <c r="U527" s="30">
        <f t="shared" si="125"/>
        <v>400000</v>
      </c>
      <c r="V527" s="31">
        <f>SUM(V523:V526)</f>
        <v>0</v>
      </c>
      <c r="W527" s="31">
        <f t="shared" si="125"/>
        <v>0</v>
      </c>
    </row>
    <row r="528" spans="2:23" ht="15">
      <c r="B528" s="100">
        <v>1813400430</v>
      </c>
      <c r="C528" s="101" t="str">
        <f t="shared" si="115"/>
        <v>430</v>
      </c>
      <c r="D528" s="101" t="str">
        <f t="shared" si="122"/>
        <v>813400</v>
      </c>
      <c r="E528" s="102" t="s">
        <v>493</v>
      </c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>
        <f>VLOOKUP(B:B,'[3]תשלומים 2017'!B:R,15,0)</f>
        <v>0</v>
      </c>
      <c r="Q528" s="103">
        <f>VLOOKUP(B:B,'[3]דוח כספי 10.17 מעודכן'!A:D,4,0)</f>
        <v>61899</v>
      </c>
      <c r="R528" s="103">
        <v>275000</v>
      </c>
      <c r="S528" s="103">
        <f>Q528/10*12</f>
        <v>74278.799999999988</v>
      </c>
      <c r="T528" s="95">
        <f>VLOOKUP('פירוט תקציב 2017 ו 2018'!B528,'תשלומים 2017'!$A$2:$Q$391,17,0)</f>
        <v>155000</v>
      </c>
      <c r="U528" s="103">
        <v>0</v>
      </c>
      <c r="V528" s="104"/>
      <c r="W528" s="104"/>
    </row>
    <row r="529" spans="2:23" ht="15">
      <c r="B529" s="100">
        <v>1813500430</v>
      </c>
      <c r="C529" s="101" t="str">
        <f t="shared" si="115"/>
        <v>430</v>
      </c>
      <c r="D529" s="101" t="str">
        <f t="shared" si="122"/>
        <v>813500</v>
      </c>
      <c r="E529" s="102" t="s">
        <v>494</v>
      </c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>
        <f>VLOOKUP(B:B,'[3]תשלומים 2017'!B:R,15,0)</f>
        <v>0</v>
      </c>
      <c r="Q529" s="103">
        <f>VLOOKUP(B:B,'[3]דוח כספי 10.17 מעודכן'!A:D,4,0)</f>
        <v>62945</v>
      </c>
      <c r="R529" s="103">
        <v>301000</v>
      </c>
      <c r="S529" s="103">
        <f>Q529/10*12</f>
        <v>75534</v>
      </c>
      <c r="T529" s="95">
        <f>VLOOKUP('פירוט תקציב 2017 ו 2018'!B529,'תשלומים 2017'!$A$2:$Q$391,17,0)</f>
        <v>168000</v>
      </c>
      <c r="U529" s="103">
        <v>0</v>
      </c>
      <c r="V529" s="104"/>
      <c r="W529" s="104"/>
    </row>
    <row r="530" spans="2:23" ht="15">
      <c r="B530" s="100">
        <v>1813560043</v>
      </c>
      <c r="C530" s="101" t="str">
        <f t="shared" si="115"/>
        <v>043</v>
      </c>
      <c r="D530" s="101" t="str">
        <f t="shared" si="122"/>
        <v>813560</v>
      </c>
      <c r="E530" s="102" t="s">
        <v>495</v>
      </c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>
        <f>VLOOKUP(B:B,'[3]תשלומים 2017'!B:R,15,0)</f>
        <v>0</v>
      </c>
      <c r="Q530" s="103">
        <f>VLOOKUP(B:B,'[3]דוח כספי 10.17 מעודכן'!A:D,4,0)</f>
        <v>42932</v>
      </c>
      <c r="R530" s="103">
        <v>185000</v>
      </c>
      <c r="S530" s="103">
        <f>Q530/10*12</f>
        <v>51518.399999999994</v>
      </c>
      <c r="T530" s="95">
        <f>VLOOKUP('פירוט תקציב 2017 ו 2018'!B530,'תשלומים 2017'!$A$2:$Q$391,17,0)</f>
        <v>103000</v>
      </c>
      <c r="U530" s="103">
        <v>0</v>
      </c>
      <c r="V530" s="104"/>
      <c r="W530" s="104"/>
    </row>
    <row r="531" spans="2:23" ht="15">
      <c r="B531" s="28"/>
      <c r="C531" s="29"/>
      <c r="D531" s="29"/>
      <c r="E531" s="29" t="s">
        <v>502</v>
      </c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>
        <f t="shared" ref="P531:R531" si="126">SUM(P528:P530)</f>
        <v>0</v>
      </c>
      <c r="Q531" s="30">
        <f t="shared" si="126"/>
        <v>167776</v>
      </c>
      <c r="R531" s="30">
        <f t="shared" si="126"/>
        <v>761000</v>
      </c>
      <c r="S531" s="30">
        <f>SUM(S528:S530)</f>
        <v>201331.19999999998</v>
      </c>
      <c r="T531" s="30">
        <f>SUM(T528:T530)</f>
        <v>426000</v>
      </c>
      <c r="U531" s="30">
        <f>SUM(U528:U530)</f>
        <v>0</v>
      </c>
      <c r="V531" s="31">
        <f>SUM(V528:V530)</f>
        <v>0</v>
      </c>
      <c r="W531" s="31">
        <f>SUM(W528:W530)</f>
        <v>0</v>
      </c>
    </row>
    <row r="532" spans="2:23" ht="15">
      <c r="B532" s="92">
        <v>1813800110</v>
      </c>
      <c r="C532" s="109" t="str">
        <f t="shared" si="115"/>
        <v>110</v>
      </c>
      <c r="D532" s="109" t="str">
        <f>MID(B532,2,6)</f>
        <v>813800</v>
      </c>
      <c r="E532" s="93" t="s">
        <v>503</v>
      </c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>
        <f>VLOOKUP(B:B,'[3]תשלומים 2017'!B:R,15,0)</f>
        <v>0</v>
      </c>
      <c r="Q532" s="95">
        <f>VLOOKUP(B:B,'[3]דוח כספי 10.17 מעודכן'!A:D,4,0)</f>
        <v>158994.47</v>
      </c>
      <c r="R532" s="95">
        <f>VLOOKUP(B:B,'[3]תשלומים 2017'!B:T,17,0)</f>
        <v>212000</v>
      </c>
      <c r="S532" s="95">
        <f>Q532/9*12</f>
        <v>211992.62666666665</v>
      </c>
      <c r="T532" s="95">
        <f>VLOOKUP('פירוט תקציב 2017 ו 2018'!B532,'תשלומים 2017'!$A$2:$Q$391,17,0)</f>
        <v>212000</v>
      </c>
      <c r="U532" s="95">
        <v>298000</v>
      </c>
      <c r="V532" s="96">
        <v>0</v>
      </c>
      <c r="W532" s="96">
        <v>2.98</v>
      </c>
    </row>
    <row r="533" spans="2:23" ht="15">
      <c r="B533" s="28"/>
      <c r="C533" s="29"/>
      <c r="D533" s="29"/>
      <c r="E533" s="29" t="s">
        <v>504</v>
      </c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>
        <f t="shared" ref="P533" si="127">SUM(P532)</f>
        <v>0</v>
      </c>
      <c r="Q533" s="30">
        <f t="shared" ref="Q533:W533" si="128">SUM(Q532)</f>
        <v>158994.47</v>
      </c>
      <c r="R533" s="30">
        <f t="shared" si="128"/>
        <v>212000</v>
      </c>
      <c r="S533" s="30">
        <f t="shared" si="128"/>
        <v>211992.62666666665</v>
      </c>
      <c r="T533" s="30">
        <f t="shared" si="128"/>
        <v>212000</v>
      </c>
      <c r="U533" s="30">
        <f t="shared" si="128"/>
        <v>298000</v>
      </c>
      <c r="V533" s="31">
        <f>SUM(V532)</f>
        <v>0</v>
      </c>
      <c r="W533" s="31">
        <f t="shared" si="128"/>
        <v>2.98</v>
      </c>
    </row>
    <row r="534" spans="2:23" ht="15">
      <c r="B534" s="92">
        <v>1815100110</v>
      </c>
      <c r="C534" s="109" t="str">
        <f t="shared" si="115"/>
        <v>110</v>
      </c>
      <c r="D534" s="109" t="str">
        <f t="shared" ref="D534:D570" si="129">MID(B534,2,6)</f>
        <v>815100</v>
      </c>
      <c r="E534" s="93" t="s">
        <v>505</v>
      </c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>
        <f>VLOOKUP(B:B,'[3]תשלומים 2017'!B:R,15,0)</f>
        <v>750000</v>
      </c>
      <c r="Q534" s="95">
        <f>VLOOKUP(B:B,'[3]דוח כספי 10.17 מעודכן'!A:D,4,0)</f>
        <v>639626.09</v>
      </c>
      <c r="R534" s="95">
        <f>VLOOKUP(B:B,'[3]תשלומים 2017'!B:T,17,0)</f>
        <v>865000</v>
      </c>
      <c r="S534" s="95">
        <f>Q534/9*12</f>
        <v>852834.78666666662</v>
      </c>
      <c r="T534" s="95">
        <f>VLOOKUP('פירוט תקציב 2017 ו 2018'!B534,'תשלומים 2017'!$A$2:$Q$391,17,0)</f>
        <v>865000</v>
      </c>
      <c r="U534" s="95">
        <v>914000</v>
      </c>
      <c r="V534" s="96">
        <v>6.22</v>
      </c>
      <c r="W534" s="96">
        <f>6.22+0.86</f>
        <v>7.08</v>
      </c>
    </row>
    <row r="535" spans="2:23" ht="15">
      <c r="B535" s="92">
        <v>1815200320</v>
      </c>
      <c r="C535" s="109" t="str">
        <f t="shared" si="115"/>
        <v>320</v>
      </c>
      <c r="D535" s="109" t="str">
        <f t="shared" si="129"/>
        <v>815200</v>
      </c>
      <c r="E535" s="93" t="s">
        <v>506</v>
      </c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>
        <f>VLOOKUP(B:B,'[3]תשלומים 2017'!B:R,15,0)</f>
        <v>0</v>
      </c>
      <c r="Q535" s="95">
        <f>VLOOKUP(B:B,'[3]דוח כספי 10.17 מעודכן'!A:D,4,0)</f>
        <v>0</v>
      </c>
      <c r="R535" s="95">
        <f>VLOOKUP(B:B,'[3]תשלומים 2017'!B:T,17,0)</f>
        <v>0</v>
      </c>
      <c r="S535" s="95">
        <f t="shared" ref="S535:S565" si="130">Q535/10*12</f>
        <v>0</v>
      </c>
      <c r="T535" s="95">
        <f>VLOOKUP('פירוט תקציב 2017 ו 2018'!B535,'תשלומים 2017'!$A$2:$Q$391,17,0)</f>
        <v>0</v>
      </c>
      <c r="U535" s="95">
        <v>0</v>
      </c>
      <c r="V535" s="110"/>
      <c r="W535" s="110"/>
    </row>
    <row r="536" spans="2:23" ht="15">
      <c r="B536" s="92">
        <v>1815200420</v>
      </c>
      <c r="C536" s="109" t="str">
        <f t="shared" si="115"/>
        <v>420</v>
      </c>
      <c r="D536" s="109" t="str">
        <f t="shared" si="129"/>
        <v>815200</v>
      </c>
      <c r="E536" s="93" t="s">
        <v>507</v>
      </c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>
        <f>VLOOKUP(B:B,'[3]תשלומים 2017'!B:R,15,0)</f>
        <v>47000</v>
      </c>
      <c r="Q536" s="95">
        <f>VLOOKUP(B:B,'[3]דוח כספי 10.17 מעודכן'!A:D,4,0)</f>
        <v>25043</v>
      </c>
      <c r="R536" s="95">
        <f>VLOOKUP(B:B,'[3]תשלומים 2017'!B:T,17,0)</f>
        <v>30000</v>
      </c>
      <c r="S536" s="95">
        <f t="shared" si="130"/>
        <v>30051.600000000002</v>
      </c>
      <c r="T536" s="95">
        <f>VLOOKUP('פירוט תקציב 2017 ו 2018'!B536,'תשלומים 2017'!$A$2:$Q$391,17,0)</f>
        <v>30000</v>
      </c>
      <c r="U536" s="95">
        <v>30000</v>
      </c>
      <c r="V536" s="110"/>
      <c r="W536" s="110"/>
    </row>
    <row r="537" spans="2:23" ht="15">
      <c r="B537" s="100">
        <v>1815200425</v>
      </c>
      <c r="C537" s="101" t="str">
        <f t="shared" si="115"/>
        <v>425</v>
      </c>
      <c r="D537" s="101" t="str">
        <f t="shared" si="129"/>
        <v>815200</v>
      </c>
      <c r="E537" s="102" t="s">
        <v>508</v>
      </c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>
        <f>VLOOKUP(B:B,'[3]תשלומים 2017'!B:R,15,0)</f>
        <v>0</v>
      </c>
      <c r="Q537" s="103">
        <f>VLOOKUP(B:B,'[3]דוח כספי 10.17 מעודכן'!A:D,4,0)</f>
        <v>0</v>
      </c>
      <c r="R537" s="103">
        <f>VLOOKUP(B:B,'[3]תשלומים 2017'!B:T,17,0)</f>
        <v>0</v>
      </c>
      <c r="S537" s="103">
        <f t="shared" si="130"/>
        <v>0</v>
      </c>
      <c r="T537" s="95">
        <f>VLOOKUP('פירוט תקציב 2017 ו 2018'!B537,'תשלומים 2017'!$A$2:$Q$391,17,0)</f>
        <v>0</v>
      </c>
      <c r="U537" s="103">
        <v>0</v>
      </c>
      <c r="V537" s="110"/>
      <c r="W537" s="110"/>
    </row>
    <row r="538" spans="2:23" ht="15">
      <c r="B538" s="100">
        <v>1815200431</v>
      </c>
      <c r="C538" s="101" t="str">
        <f t="shared" si="115"/>
        <v>431</v>
      </c>
      <c r="D538" s="101" t="str">
        <f t="shared" si="129"/>
        <v>815200</v>
      </c>
      <c r="E538" s="102" t="s">
        <v>481</v>
      </c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>
        <f>VLOOKUP(B:B,'[3]תשלומים 2017'!B:R,15,0)</f>
        <v>129000</v>
      </c>
      <c r="Q538" s="103">
        <f>VLOOKUP(B:B,'[3]דוח כספי 10.17 מעודכן'!A:D,4,0)</f>
        <v>124393.86</v>
      </c>
      <c r="R538" s="103">
        <f>VLOOKUP(B:B,'[3]תשלומים 2017'!B:T,17,0)</f>
        <v>210000</v>
      </c>
      <c r="S538" s="103">
        <f t="shared" si="130"/>
        <v>149272.63200000001</v>
      </c>
      <c r="T538" s="95">
        <f>VLOOKUP('פירוט תקציב 2017 ו 2018'!B538,'תשלומים 2017'!$A$2:$Q$391,17,0)</f>
        <v>210000</v>
      </c>
      <c r="U538" s="103">
        <v>150000</v>
      </c>
      <c r="V538" s="110"/>
      <c r="W538" s="110"/>
    </row>
    <row r="539" spans="2:23" ht="15">
      <c r="B539" s="100">
        <v>1815200432</v>
      </c>
      <c r="C539" s="101" t="str">
        <f t="shared" si="115"/>
        <v>432</v>
      </c>
      <c r="D539" s="101" t="str">
        <f t="shared" si="129"/>
        <v>815200</v>
      </c>
      <c r="E539" s="102" t="s">
        <v>325</v>
      </c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>
        <f>VLOOKUP(B:B,'[3]תשלומים 2017'!B:R,15,0)</f>
        <v>55000</v>
      </c>
      <c r="Q539" s="103">
        <f>VLOOKUP(B:B,'[3]דוח כספי 10.17 מעודכן'!A:D,4,0)</f>
        <v>34091.1</v>
      </c>
      <c r="R539" s="103">
        <f>VLOOKUP(B:B,'[3]תשלומים 2017'!B:T,17,0)</f>
        <v>34500</v>
      </c>
      <c r="S539" s="103">
        <v>34091</v>
      </c>
      <c r="T539" s="95">
        <f>VLOOKUP('פירוט תקציב 2017 ו 2018'!B539,'תשלומים 2017'!$A$2:$Q$391,17,0)</f>
        <v>34500</v>
      </c>
      <c r="U539" s="103">
        <v>45000</v>
      </c>
      <c r="V539" s="110"/>
      <c r="W539" s="110"/>
    </row>
    <row r="540" spans="2:23" ht="15">
      <c r="B540" s="100">
        <v>1815200433</v>
      </c>
      <c r="C540" s="101" t="str">
        <f t="shared" si="115"/>
        <v>433</v>
      </c>
      <c r="D540" s="101" t="str">
        <f t="shared" si="129"/>
        <v>815200</v>
      </c>
      <c r="E540" s="102" t="s">
        <v>509</v>
      </c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>
        <f>VLOOKUP(B:B,'[3]תשלומים 2017'!B:R,15,0)</f>
        <v>28000</v>
      </c>
      <c r="Q540" s="103">
        <f>VLOOKUP(B:B,'[3]דוח כספי 10.17 מעודכן'!A:D,4,0)</f>
        <v>21534</v>
      </c>
      <c r="R540" s="103">
        <f>VLOOKUP(B:B,'[3]תשלומים 2017'!B:T,17,0)</f>
        <v>26000</v>
      </c>
      <c r="S540" s="103">
        <f t="shared" si="130"/>
        <v>25840.800000000003</v>
      </c>
      <c r="T540" s="95">
        <f>VLOOKUP('פירוט תקציב 2017 ו 2018'!B540,'תשלומים 2017'!$A$2:$Q$391,17,0)</f>
        <v>26000</v>
      </c>
      <c r="U540" s="103">
        <v>26000</v>
      </c>
      <c r="V540" s="110"/>
      <c r="W540" s="110"/>
    </row>
    <row r="541" spans="2:23" ht="15">
      <c r="B541" s="100">
        <v>1815200440</v>
      </c>
      <c r="C541" s="101" t="str">
        <f t="shared" si="115"/>
        <v>440</v>
      </c>
      <c r="D541" s="101" t="str">
        <f t="shared" si="129"/>
        <v>815200</v>
      </c>
      <c r="E541" s="102" t="s">
        <v>354</v>
      </c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>
        <f>VLOOKUP(B:B,'[3]תשלומים 2017'!B:R,15,0)</f>
        <v>0</v>
      </c>
      <c r="Q541" s="103">
        <f>VLOOKUP(B:B,'[3]דוח כספי 10.17 מעודכן'!A:D,4,0)</f>
        <v>0</v>
      </c>
      <c r="R541" s="103">
        <f>VLOOKUP(B:B,'[3]תשלומים 2017'!B:T,17,0)</f>
        <v>0</v>
      </c>
      <c r="S541" s="103">
        <f t="shared" si="130"/>
        <v>0</v>
      </c>
      <c r="T541" s="95">
        <f>VLOOKUP('פירוט תקציב 2017 ו 2018'!B541,'תשלומים 2017'!$A$2:$Q$391,17,0)</f>
        <v>0</v>
      </c>
      <c r="U541" s="103">
        <v>0</v>
      </c>
      <c r="V541" s="110"/>
      <c r="W541" s="110"/>
    </row>
    <row r="542" spans="2:23" ht="15">
      <c r="B542" s="92">
        <v>1815200450</v>
      </c>
      <c r="C542" s="109" t="str">
        <f t="shared" si="115"/>
        <v>450</v>
      </c>
      <c r="D542" s="109" t="str">
        <f t="shared" si="129"/>
        <v>815200</v>
      </c>
      <c r="E542" s="93" t="s">
        <v>483</v>
      </c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>
        <f>VLOOKUP(B:B,'[3]תשלומים 2017'!B:R,15,0)</f>
        <v>12000</v>
      </c>
      <c r="Q542" s="95">
        <f>VLOOKUP(B:B,'[3]דוח כספי 10.17 מעודכן'!A:D,4,0)</f>
        <v>-4861.6400000000003</v>
      </c>
      <c r="R542" s="95">
        <f>VLOOKUP(B:B,'[3]תשלומים 2017'!B:T,17,0)</f>
        <v>5000</v>
      </c>
      <c r="S542" s="95">
        <f t="shared" si="130"/>
        <v>-5833.9680000000008</v>
      </c>
      <c r="T542" s="95">
        <f>VLOOKUP('פירוט תקציב 2017 ו 2018'!B542,'תשלומים 2017'!$A$2:$Q$391,17,0)</f>
        <v>5000</v>
      </c>
      <c r="U542" s="95">
        <v>3000</v>
      </c>
      <c r="V542" s="110"/>
      <c r="W542" s="110"/>
    </row>
    <row r="543" spans="2:23" ht="15">
      <c r="B543" s="92">
        <v>1815200470</v>
      </c>
      <c r="C543" s="109" t="str">
        <f t="shared" si="115"/>
        <v>470</v>
      </c>
      <c r="D543" s="109" t="str">
        <f t="shared" si="129"/>
        <v>815200</v>
      </c>
      <c r="E543" s="93" t="s">
        <v>510</v>
      </c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>
        <f>VLOOKUP(B:B,'[3]תשלומים 2017'!B:R,15,0)</f>
        <v>37000</v>
      </c>
      <c r="Q543" s="95">
        <f>VLOOKUP(B:B,'[3]דוח כספי 10.17 מעודכן'!A:D,4,0)</f>
        <v>71539</v>
      </c>
      <c r="R543" s="95">
        <f>VLOOKUP(B:B,'[3]תשלומים 2017'!B:T,17,0)</f>
        <v>86000</v>
      </c>
      <c r="S543" s="95">
        <f t="shared" si="130"/>
        <v>85846.799999999988</v>
      </c>
      <c r="T543" s="95">
        <f>VLOOKUP('פירוט תקציב 2017 ו 2018'!B543,'תשלומים 2017'!$A$2:$Q$391,17,0)</f>
        <v>86000</v>
      </c>
      <c r="U543" s="95">
        <v>86000</v>
      </c>
      <c r="V543" s="110"/>
      <c r="W543" s="110"/>
    </row>
    <row r="544" spans="2:23" ht="15">
      <c r="B544" s="92">
        <v>1815200510</v>
      </c>
      <c r="C544" s="109" t="str">
        <f t="shared" si="115"/>
        <v>510</v>
      </c>
      <c r="D544" s="109" t="str">
        <f t="shared" si="129"/>
        <v>815200</v>
      </c>
      <c r="E544" s="93" t="s">
        <v>511</v>
      </c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>
        <f>VLOOKUP(B:B,'[3]תשלומים 2017'!B:R,15,0)</f>
        <v>10000</v>
      </c>
      <c r="Q544" s="95">
        <f>VLOOKUP(B:B,'[3]דוח כספי 10.17 מעודכן'!A:D,4,0)</f>
        <v>0</v>
      </c>
      <c r="R544" s="95">
        <f>VLOOKUP(B:B,'[3]תשלומים 2017'!B:T,17,0)</f>
        <v>0</v>
      </c>
      <c r="S544" s="95">
        <f t="shared" si="130"/>
        <v>0</v>
      </c>
      <c r="T544" s="95">
        <f>VLOOKUP('פירוט תקציב 2017 ו 2018'!B544,'תשלומים 2017'!$A$2:$Q$391,17,0)</f>
        <v>0</v>
      </c>
      <c r="U544" s="95">
        <v>0</v>
      </c>
      <c r="V544" s="110"/>
      <c r="W544" s="110"/>
    </row>
    <row r="545" spans="2:23" ht="15">
      <c r="B545" s="92">
        <v>1815200522</v>
      </c>
      <c r="C545" s="109" t="str">
        <f t="shared" si="115"/>
        <v>522</v>
      </c>
      <c r="D545" s="109" t="str">
        <f t="shared" si="129"/>
        <v>815200</v>
      </c>
      <c r="E545" s="93" t="s">
        <v>384</v>
      </c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>
        <f>VLOOKUP(B:B,'[3]תשלומים 2017'!B:R,15,0)</f>
        <v>0</v>
      </c>
      <c r="Q545" s="95">
        <f>VLOOKUP(B:B,'[3]דוח כספי 10.17 מעודכן'!A:D,4,0)</f>
        <v>0</v>
      </c>
      <c r="R545" s="95">
        <f>VLOOKUP(B:B,'[3]תשלומים 2017'!B:T,17,0)</f>
        <v>0</v>
      </c>
      <c r="S545" s="95">
        <f t="shared" si="130"/>
        <v>0</v>
      </c>
      <c r="T545" s="95">
        <f>VLOOKUP('פירוט תקציב 2017 ו 2018'!B545,'תשלומים 2017'!$A$2:$Q$391,17,0)</f>
        <v>0</v>
      </c>
      <c r="U545" s="95">
        <v>0</v>
      </c>
      <c r="V545" s="110"/>
      <c r="W545" s="110"/>
    </row>
    <row r="546" spans="2:23" ht="15">
      <c r="B546" s="92">
        <v>1815200540</v>
      </c>
      <c r="C546" s="109" t="str">
        <f t="shared" si="115"/>
        <v>540</v>
      </c>
      <c r="D546" s="109" t="str">
        <f t="shared" si="129"/>
        <v>815200</v>
      </c>
      <c r="E546" s="93" t="s">
        <v>485</v>
      </c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>
        <f>VLOOKUP(B:B,'[3]תשלומים 2017'!B:R,15,0)</f>
        <v>21000</v>
      </c>
      <c r="Q546" s="95">
        <f>VLOOKUP(B:B,'[3]דוח כספי 10.17 מעודכן'!A:D,4,0)</f>
        <v>0</v>
      </c>
      <c r="R546" s="95">
        <f>VLOOKUP(B:B,'[3]תשלומים 2017'!B:T,17,0)</f>
        <v>0</v>
      </c>
      <c r="S546" s="95">
        <f t="shared" si="130"/>
        <v>0</v>
      </c>
      <c r="T546" s="95">
        <f>VLOOKUP('פירוט תקציב 2017 ו 2018'!B546,'תשלומים 2017'!$A$2:$Q$391,17,0)</f>
        <v>0</v>
      </c>
      <c r="U546" s="95">
        <v>0</v>
      </c>
      <c r="V546" s="110"/>
      <c r="W546" s="110"/>
    </row>
    <row r="547" spans="2:23" ht="15">
      <c r="B547" s="92">
        <v>1815200560</v>
      </c>
      <c r="C547" s="109" t="str">
        <f t="shared" si="115"/>
        <v>560</v>
      </c>
      <c r="D547" s="109" t="str">
        <f t="shared" si="129"/>
        <v>815200</v>
      </c>
      <c r="E547" s="93" t="s">
        <v>486</v>
      </c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>
        <f>VLOOKUP(B:B,'[3]תשלומים 2017'!B:R,15,0)</f>
        <v>80000</v>
      </c>
      <c r="Q547" s="95">
        <f>VLOOKUP(B:B,'[3]דוח כספי 10.17 מעודכן'!A:D,4,0)</f>
        <v>36083</v>
      </c>
      <c r="R547" s="95">
        <f>VLOOKUP(B:B,'[3]תשלומים 2017'!B:T,17,0)</f>
        <v>45000</v>
      </c>
      <c r="S547" s="95">
        <f t="shared" si="130"/>
        <v>43299.600000000006</v>
      </c>
      <c r="T547" s="95">
        <f>VLOOKUP('פירוט תקציב 2017 ו 2018'!B547,'תשלומים 2017'!$A$2:$Q$391,17,0)</f>
        <v>45000</v>
      </c>
      <c r="U547" s="95">
        <v>43000</v>
      </c>
      <c r="V547" s="110"/>
      <c r="W547" s="110"/>
    </row>
    <row r="548" spans="2:23" ht="15">
      <c r="B548" s="92">
        <v>1815200570</v>
      </c>
      <c r="C548" s="109" t="str">
        <f t="shared" ref="C548:C596" si="131">MID(B548,8,3)</f>
        <v>570</v>
      </c>
      <c r="D548" s="109" t="str">
        <f t="shared" si="129"/>
        <v>815200</v>
      </c>
      <c r="E548" s="93" t="s">
        <v>512</v>
      </c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>
        <f>VLOOKUP(B:B,'[3]תשלומים 2017'!B:R,15,0)</f>
        <v>31000</v>
      </c>
      <c r="Q548" s="95">
        <f>VLOOKUP(B:B,'[3]דוח כספי 10.17 מעודכן'!A:D,4,0)</f>
        <v>15210</v>
      </c>
      <c r="R548" s="95">
        <f>VLOOKUP(B:B,'[3]תשלומים 2017'!B:T,17,0)</f>
        <v>20000</v>
      </c>
      <c r="S548" s="95">
        <f t="shared" si="130"/>
        <v>18252</v>
      </c>
      <c r="T548" s="95">
        <f>VLOOKUP('פירוט תקציב 2017 ו 2018'!B548,'תשלומים 2017'!$A$2:$Q$391,17,0)</f>
        <v>20000</v>
      </c>
      <c r="U548" s="95">
        <v>18000</v>
      </c>
      <c r="V548" s="110"/>
      <c r="W548" s="110"/>
    </row>
    <row r="549" spans="2:23" ht="15">
      <c r="B549" s="92">
        <v>1815200580</v>
      </c>
      <c r="C549" s="109" t="str">
        <f t="shared" si="131"/>
        <v>580</v>
      </c>
      <c r="D549" s="109" t="str">
        <f t="shared" si="129"/>
        <v>815200</v>
      </c>
      <c r="E549" s="93" t="s">
        <v>513</v>
      </c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>
        <f>VLOOKUP(B:B,'[3]תשלומים 2017'!B:R,15,0)</f>
        <v>67000</v>
      </c>
      <c r="Q549" s="95">
        <f>VLOOKUP(B:B,'[3]דוח כספי 10.17 מעודכן'!A:D,4,0)</f>
        <v>77850</v>
      </c>
      <c r="R549" s="95">
        <f>VLOOKUP(B:B,'[3]תשלומים 2017'!B:T,17,0)</f>
        <v>94000</v>
      </c>
      <c r="S549" s="95">
        <f t="shared" si="130"/>
        <v>93420</v>
      </c>
      <c r="T549" s="95">
        <f>VLOOKUP('פירוט תקציב 2017 ו 2018'!B549,'תשלומים 2017'!$A$2:$Q$391,17,0)</f>
        <v>94000</v>
      </c>
      <c r="U549" s="95">
        <v>94000</v>
      </c>
      <c r="V549" s="110"/>
      <c r="W549" s="110"/>
    </row>
    <row r="550" spans="2:23" ht="15">
      <c r="B550" s="92">
        <v>1815200650</v>
      </c>
      <c r="C550" s="109" t="str">
        <f t="shared" si="131"/>
        <v>650</v>
      </c>
      <c r="D550" s="109" t="str">
        <f t="shared" si="129"/>
        <v>815200</v>
      </c>
      <c r="E550" s="93" t="s">
        <v>514</v>
      </c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>
        <f>VLOOKUP(B:B,'[3]תשלומים 2017'!B:R,15,0)</f>
        <v>0</v>
      </c>
      <c r="Q550" s="95">
        <f>VLOOKUP(B:B,'[3]דוח כספי 10.17 מעודכן'!A:D,4,0)</f>
        <v>0</v>
      </c>
      <c r="R550" s="95">
        <f>VLOOKUP(B:B,'[3]תשלומים 2017'!B:T,17,0)</f>
        <v>0</v>
      </c>
      <c r="S550" s="95">
        <f t="shared" si="130"/>
        <v>0</v>
      </c>
      <c r="T550" s="95">
        <f>VLOOKUP('פירוט תקציב 2017 ו 2018'!B550,'תשלומים 2017'!$A$2:$Q$391,17,0)</f>
        <v>0</v>
      </c>
      <c r="U550" s="95">
        <v>0</v>
      </c>
      <c r="V550" s="110"/>
      <c r="W550" s="110"/>
    </row>
    <row r="551" spans="2:23" ht="15">
      <c r="B551" s="92">
        <v>1815200720</v>
      </c>
      <c r="C551" s="109" t="str">
        <f t="shared" si="131"/>
        <v>720</v>
      </c>
      <c r="D551" s="109" t="str">
        <f t="shared" si="129"/>
        <v>815200</v>
      </c>
      <c r="E551" s="93" t="s">
        <v>515</v>
      </c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>
        <f>VLOOKUP(B:B,'[3]תשלומים 2017'!B:R,15,0)</f>
        <v>0</v>
      </c>
      <c r="Q551" s="95">
        <f>VLOOKUP(B:B,'[3]דוח כספי 10.17 מעודכן'!A:D,4,0)</f>
        <v>48933</v>
      </c>
      <c r="R551" s="95">
        <f>VLOOKUP(B:B,'[3]תשלומים 2017'!B:T,17,0)</f>
        <v>60000</v>
      </c>
      <c r="S551" s="95">
        <f t="shared" si="130"/>
        <v>58719.600000000006</v>
      </c>
      <c r="T551" s="95">
        <f>VLOOKUP('פירוט תקציב 2017 ו 2018'!B551,'תשלומים 2017'!$A$2:$Q$391,17,0)</f>
        <v>60000</v>
      </c>
      <c r="U551" s="95">
        <v>59000</v>
      </c>
      <c r="V551" s="110"/>
      <c r="W551" s="110"/>
    </row>
    <row r="552" spans="2:23" ht="15">
      <c r="B552" s="92">
        <v>1815200730</v>
      </c>
      <c r="C552" s="109" t="str">
        <f t="shared" si="131"/>
        <v>730</v>
      </c>
      <c r="D552" s="109" t="str">
        <f t="shared" si="129"/>
        <v>815200</v>
      </c>
      <c r="E552" s="93" t="s">
        <v>516</v>
      </c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>
        <f>VLOOKUP(B:B,'[3]תשלומים 2017'!B:R,15,0)</f>
        <v>0</v>
      </c>
      <c r="Q552" s="95">
        <f>VLOOKUP(B:B,'[3]דוח כספי 10.17 מעודכן'!A:D,4,0)</f>
        <v>41919.9</v>
      </c>
      <c r="R552" s="95">
        <f>VLOOKUP(B:B,'[3]תשלומים 2017'!B:T,17,0)</f>
        <v>50000</v>
      </c>
      <c r="S552" s="95">
        <f t="shared" si="130"/>
        <v>50303.88</v>
      </c>
      <c r="T552" s="95">
        <f>VLOOKUP('פירוט תקציב 2017 ו 2018'!B552,'תשלומים 2017'!$A$2:$Q$391,17,0)</f>
        <v>50000</v>
      </c>
      <c r="U552" s="95">
        <v>50000</v>
      </c>
      <c r="V552" s="110"/>
      <c r="W552" s="110"/>
    </row>
    <row r="553" spans="2:23" ht="15">
      <c r="B553" s="92">
        <v>1815200750</v>
      </c>
      <c r="C553" s="109" t="str">
        <f t="shared" si="131"/>
        <v>750</v>
      </c>
      <c r="D553" s="109" t="str">
        <f t="shared" si="129"/>
        <v>815200</v>
      </c>
      <c r="E553" s="93" t="s">
        <v>517</v>
      </c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>
        <f>VLOOKUP(B:B,'[3]תשלומים 2017'!B:R,15,0)</f>
        <v>88000</v>
      </c>
      <c r="Q553" s="95">
        <f>VLOOKUP(B:B,'[3]דוח כספי 10.17 מעודכן'!A:D,4,0)</f>
        <v>0</v>
      </c>
      <c r="R553" s="95">
        <f>VLOOKUP(B:B,'[3]תשלומים 2017'!B:T,17,0)</f>
        <v>0</v>
      </c>
      <c r="S553" s="95">
        <f t="shared" si="130"/>
        <v>0</v>
      </c>
      <c r="T553" s="95">
        <f>VLOOKUP('פירוט תקציב 2017 ו 2018'!B553,'תשלומים 2017'!$A$2:$Q$391,17,0)</f>
        <v>0</v>
      </c>
      <c r="U553" s="95">
        <v>0</v>
      </c>
      <c r="V553" s="110"/>
      <c r="W553" s="110"/>
    </row>
    <row r="554" spans="2:23" ht="15">
      <c r="B554" s="92">
        <v>1815200780</v>
      </c>
      <c r="C554" s="109" t="str">
        <f t="shared" si="131"/>
        <v>780</v>
      </c>
      <c r="D554" s="109" t="str">
        <f t="shared" si="129"/>
        <v>815200</v>
      </c>
      <c r="E554" s="93" t="s">
        <v>518</v>
      </c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>
        <f>VLOOKUP(B:B,'[3]תשלומים 2017'!B:R,15,0)</f>
        <v>12000</v>
      </c>
      <c r="Q554" s="95">
        <f>VLOOKUP(B:B,'[3]דוח כספי 10.17 מעודכן'!A:D,4,0)</f>
        <v>13982</v>
      </c>
      <c r="R554" s="95">
        <f>VLOOKUP(B:B,'[3]תשלומים 2017'!B:T,17,0)</f>
        <v>17000</v>
      </c>
      <c r="S554" s="95">
        <f t="shared" si="130"/>
        <v>16778.400000000001</v>
      </c>
      <c r="T554" s="95">
        <f>VLOOKUP('פירוט תקציב 2017 ו 2018'!B554,'תשלומים 2017'!$A$2:$Q$391,17,0)</f>
        <v>17000</v>
      </c>
      <c r="U554" s="95">
        <v>17000</v>
      </c>
      <c r="V554" s="110"/>
      <c r="W554" s="110"/>
    </row>
    <row r="555" spans="2:23" ht="15">
      <c r="B555" s="92">
        <v>1815200790</v>
      </c>
      <c r="C555" s="109" t="str">
        <f t="shared" si="131"/>
        <v>790</v>
      </c>
      <c r="D555" s="109" t="str">
        <f t="shared" si="129"/>
        <v>815200</v>
      </c>
      <c r="E555" s="93" t="s">
        <v>519</v>
      </c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>
        <f>VLOOKUP(B:B,'[3]תשלומים 2017'!B:R,15,0)</f>
        <v>0</v>
      </c>
      <c r="Q555" s="95">
        <f>VLOOKUP(B:B,'[3]דוח כספי 10.17 מעודכן'!A:D,4,0)</f>
        <v>0</v>
      </c>
      <c r="R555" s="95">
        <f>VLOOKUP(B:B,'[3]תשלומים 2017'!B:T,17,0)</f>
        <v>0</v>
      </c>
      <c r="S555" s="95">
        <f t="shared" si="130"/>
        <v>0</v>
      </c>
      <c r="T555" s="95">
        <f>VLOOKUP('פירוט תקציב 2017 ו 2018'!B555,'תשלומים 2017'!$A$2:$Q$391,17,0)</f>
        <v>0</v>
      </c>
      <c r="U555" s="95">
        <v>0</v>
      </c>
      <c r="V555" s="110"/>
      <c r="W555" s="110"/>
    </row>
    <row r="556" spans="2:23" ht="15">
      <c r="B556" s="92">
        <v>1815200800</v>
      </c>
      <c r="C556" s="109" t="str">
        <f t="shared" si="131"/>
        <v>800</v>
      </c>
      <c r="D556" s="109" t="str">
        <f t="shared" si="129"/>
        <v>815200</v>
      </c>
      <c r="E556" s="93" t="s">
        <v>520</v>
      </c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>
        <f>VLOOKUP(B:B,'[3]תשלומים 2017'!B:R,15,0)</f>
        <v>0</v>
      </c>
      <c r="Q556" s="95">
        <f>VLOOKUP(B:B,'[3]דוח כספי 10.17 מעודכן'!A:D,4,0)</f>
        <v>19040</v>
      </c>
      <c r="R556" s="95">
        <f>VLOOKUP(B:B,'[3]תשלומים 2017'!B:T,17,0)</f>
        <v>23000</v>
      </c>
      <c r="S556" s="95">
        <f t="shared" si="130"/>
        <v>22848</v>
      </c>
      <c r="T556" s="95">
        <f>VLOOKUP('פירוט תקציב 2017 ו 2018'!B556,'תשלומים 2017'!$A$2:$Q$391,17,0)</f>
        <v>23000</v>
      </c>
      <c r="U556" s="95">
        <v>23000</v>
      </c>
      <c r="V556" s="110"/>
      <c r="W556" s="110"/>
    </row>
    <row r="557" spans="2:23" ht="15">
      <c r="B557" s="92">
        <v>1815200810</v>
      </c>
      <c r="C557" s="109" t="str">
        <f t="shared" si="131"/>
        <v>810</v>
      </c>
      <c r="D557" s="109" t="str">
        <f t="shared" si="129"/>
        <v>815200</v>
      </c>
      <c r="E557" s="93" t="s">
        <v>521</v>
      </c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>
        <f>VLOOKUP(B:B,'[3]תשלומים 2017'!B:R,15,0)</f>
        <v>5000</v>
      </c>
      <c r="Q557" s="95">
        <f>VLOOKUP(B:B,'[3]דוח כספי 10.17 מעודכן'!A:D,4,0)</f>
        <v>5500</v>
      </c>
      <c r="R557" s="95">
        <f>VLOOKUP(B:B,'[3]תשלומים 2017'!B:T,17,0)</f>
        <v>7000</v>
      </c>
      <c r="S557" s="95">
        <f t="shared" si="130"/>
        <v>6600</v>
      </c>
      <c r="T557" s="95">
        <f>VLOOKUP('פירוט תקציב 2017 ו 2018'!B557,'תשלומים 2017'!$A$2:$Q$391,17,0)</f>
        <v>7000</v>
      </c>
      <c r="U557" s="95">
        <v>7000</v>
      </c>
      <c r="V557" s="110"/>
      <c r="W557" s="110"/>
    </row>
    <row r="558" spans="2:23" ht="15">
      <c r="B558" s="92">
        <v>1815200850</v>
      </c>
      <c r="C558" s="109" t="str">
        <f t="shared" si="131"/>
        <v>850</v>
      </c>
      <c r="D558" s="109" t="str">
        <f t="shared" si="129"/>
        <v>815200</v>
      </c>
      <c r="E558" s="93" t="s">
        <v>522</v>
      </c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>
        <f>VLOOKUP(B:B,'[3]תשלומים 2017'!B:R,15,0)</f>
        <v>0</v>
      </c>
      <c r="Q558" s="95">
        <f>VLOOKUP(B:B,'[3]דוח כספי 10.17 מעודכן'!A:D,4,0)</f>
        <v>0</v>
      </c>
      <c r="R558" s="95">
        <f>VLOOKUP(B:B,'[3]תשלומים 2017'!B:T,17,0)</f>
        <v>0</v>
      </c>
      <c r="S558" s="95">
        <f t="shared" si="130"/>
        <v>0</v>
      </c>
      <c r="T558" s="95">
        <f>VLOOKUP('פירוט תקציב 2017 ו 2018'!B558,'תשלומים 2017'!$A$2:$Q$391,17,0)</f>
        <v>0</v>
      </c>
      <c r="U558" s="95">
        <v>0</v>
      </c>
      <c r="V558" s="110"/>
      <c r="W558" s="110"/>
    </row>
    <row r="559" spans="2:23" ht="15">
      <c r="B559" s="92">
        <v>1815200930</v>
      </c>
      <c r="C559" s="109" t="str">
        <f t="shared" si="131"/>
        <v>930</v>
      </c>
      <c r="D559" s="109" t="str">
        <f t="shared" si="129"/>
        <v>815200</v>
      </c>
      <c r="E559" s="93" t="s">
        <v>390</v>
      </c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>
        <f>VLOOKUP(B:B,'[3]תשלומים 2017'!B:R,15,0)</f>
        <v>4000</v>
      </c>
      <c r="Q559" s="95">
        <f>VLOOKUP(B:B,'[3]דוח כספי 10.17 מעודכן'!A:D,4,0)</f>
        <v>0</v>
      </c>
      <c r="R559" s="95">
        <f>VLOOKUP(B:B,'[3]תשלומים 2017'!B:T,17,0)</f>
        <v>0</v>
      </c>
      <c r="S559" s="95">
        <f t="shared" si="130"/>
        <v>0</v>
      </c>
      <c r="T559" s="95">
        <f>VLOOKUP('פירוט תקציב 2017 ו 2018'!B559,'תשלומים 2017'!$A$2:$Q$391,17,0)</f>
        <v>0</v>
      </c>
      <c r="U559" s="95">
        <v>0</v>
      </c>
      <c r="V559" s="110"/>
      <c r="W559" s="110"/>
    </row>
    <row r="560" spans="2:23" ht="15">
      <c r="B560" s="92">
        <v>1815210580</v>
      </c>
      <c r="C560" s="109" t="str">
        <f t="shared" si="131"/>
        <v>580</v>
      </c>
      <c r="D560" s="109" t="str">
        <f t="shared" si="129"/>
        <v>815210</v>
      </c>
      <c r="E560" s="93" t="s">
        <v>523</v>
      </c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>
        <f>VLOOKUP(B:B,'[3]תשלומים 2017'!B:R,15,0)</f>
        <v>5000</v>
      </c>
      <c r="Q560" s="95">
        <f>VLOOKUP(B:B,'[3]דוח כספי 10.17 מעודכן'!A:D,4,0)</f>
        <v>0</v>
      </c>
      <c r="R560" s="95">
        <f>VLOOKUP(B:B,'[3]תשלומים 2017'!B:T,17,0)</f>
        <v>0</v>
      </c>
      <c r="S560" s="95">
        <f t="shared" si="130"/>
        <v>0</v>
      </c>
      <c r="T560" s="95">
        <f>VLOOKUP('פירוט תקציב 2017 ו 2018'!B560,'תשלומים 2017'!$A$2:$Q$391,17,0)</f>
        <v>0</v>
      </c>
      <c r="U560" s="95">
        <v>0</v>
      </c>
      <c r="V560" s="110"/>
      <c r="W560" s="110"/>
    </row>
    <row r="561" spans="2:23" ht="15">
      <c r="B561" s="92">
        <v>1815210720</v>
      </c>
      <c r="C561" s="109" t="str">
        <f t="shared" si="131"/>
        <v>720</v>
      </c>
      <c r="D561" s="109" t="str">
        <f t="shared" si="129"/>
        <v>815210</v>
      </c>
      <c r="E561" s="93" t="s">
        <v>524</v>
      </c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>
        <f>VLOOKUP(B:B,'[3]תשלומים 2017'!B:R,15,0)</f>
        <v>0</v>
      </c>
      <c r="Q561" s="95">
        <f>VLOOKUP(B:B,'[3]דוח כספי 10.17 מעודכן'!A:D,4,0)</f>
        <v>1600</v>
      </c>
      <c r="R561" s="95">
        <f>VLOOKUP(B:B,'[3]תשלומים 2017'!B:T,17,0)</f>
        <v>2000</v>
      </c>
      <c r="S561" s="95">
        <f t="shared" si="130"/>
        <v>1920</v>
      </c>
      <c r="T561" s="95">
        <f>VLOOKUP('פירוט תקציב 2017 ו 2018'!B561,'תשלומים 2017'!$A$2:$Q$391,17,0)</f>
        <v>2000</v>
      </c>
      <c r="U561" s="95">
        <v>2000</v>
      </c>
      <c r="V561" s="110"/>
      <c r="W561" s="110"/>
    </row>
    <row r="562" spans="2:23" ht="15">
      <c r="B562" s="92">
        <v>1815210930</v>
      </c>
      <c r="C562" s="109" t="str">
        <f t="shared" si="131"/>
        <v>930</v>
      </c>
      <c r="D562" s="109" t="str">
        <f t="shared" si="129"/>
        <v>815210</v>
      </c>
      <c r="E562" s="93" t="s">
        <v>525</v>
      </c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>
        <f>VLOOKUP(B:B,'[3]תשלומים 2017'!B:R,15,0)</f>
        <v>16000</v>
      </c>
      <c r="Q562" s="95">
        <f>VLOOKUP(B:B,'[3]דוח כספי 10.17 מעודכן'!A:D,4,0)</f>
        <v>0</v>
      </c>
      <c r="R562" s="95">
        <f>VLOOKUP(B:B,'[3]תשלומים 2017'!B:T,17,0)</f>
        <v>0</v>
      </c>
      <c r="S562" s="95">
        <f t="shared" si="130"/>
        <v>0</v>
      </c>
      <c r="T562" s="95">
        <f>VLOOKUP('פירוט תקציב 2017 ו 2018'!B562,'תשלומים 2017'!$A$2:$Q$391,17,0)</f>
        <v>0</v>
      </c>
      <c r="U562" s="95">
        <v>0</v>
      </c>
      <c r="V562" s="110"/>
      <c r="W562" s="110"/>
    </row>
    <row r="563" spans="2:23" ht="15">
      <c r="B563" s="92">
        <v>1815211930</v>
      </c>
      <c r="C563" s="109" t="str">
        <f t="shared" si="131"/>
        <v>930</v>
      </c>
      <c r="D563" s="109" t="str">
        <f t="shared" si="129"/>
        <v>815211</v>
      </c>
      <c r="E563" s="93" t="s">
        <v>526</v>
      </c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>
        <f>VLOOKUP(B:B,'[3]תשלומים 2017'!B:R,15,0)</f>
        <v>0</v>
      </c>
      <c r="Q563" s="95">
        <f>VLOOKUP(B:B,'[3]דוח כספי 10.17 מעודכן'!A:D,4,0)</f>
        <v>0</v>
      </c>
      <c r="R563" s="95">
        <f>VLOOKUP(B:B,'[3]תשלומים 2017'!B:T,17,0)</f>
        <v>0</v>
      </c>
      <c r="S563" s="95">
        <f t="shared" si="130"/>
        <v>0</v>
      </c>
      <c r="T563" s="95">
        <f>VLOOKUP('פירוט תקציב 2017 ו 2018'!B563,'תשלומים 2017'!$A$2:$Q$391,17,0)</f>
        <v>0</v>
      </c>
      <c r="U563" s="95">
        <v>0</v>
      </c>
      <c r="V563" s="110"/>
      <c r="W563" s="110"/>
    </row>
    <row r="564" spans="2:23" ht="15">
      <c r="B564" s="92">
        <v>1815212930</v>
      </c>
      <c r="C564" s="109" t="str">
        <f t="shared" si="131"/>
        <v>930</v>
      </c>
      <c r="D564" s="109" t="str">
        <f t="shared" si="129"/>
        <v>815212</v>
      </c>
      <c r="E564" s="93" t="s">
        <v>527</v>
      </c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>
        <f>VLOOKUP(B:B,'[3]תשלומים 2017'!B:R,15,0)</f>
        <v>0</v>
      </c>
      <c r="Q564" s="95">
        <f>VLOOKUP(B:B,'[3]דוח כספי 10.17 מעודכן'!A:D,4,0)</f>
        <v>2106</v>
      </c>
      <c r="R564" s="95">
        <f>VLOOKUP(B:B,'[3]תשלומים 2017'!B:T,17,0)</f>
        <v>3000</v>
      </c>
      <c r="S564" s="95">
        <f t="shared" si="130"/>
        <v>2527.1999999999998</v>
      </c>
      <c r="T564" s="95">
        <f>VLOOKUP('פירוט תקציב 2017 ו 2018'!B564,'תשלומים 2017'!$A$2:$Q$391,17,0)</f>
        <v>3000</v>
      </c>
      <c r="U564" s="95">
        <v>3000</v>
      </c>
      <c r="V564" s="110"/>
      <c r="W564" s="110"/>
    </row>
    <row r="565" spans="2:23" ht="15">
      <c r="B565" s="92">
        <v>1815300431</v>
      </c>
      <c r="C565" s="109" t="str">
        <f t="shared" si="131"/>
        <v>431</v>
      </c>
      <c r="D565" s="109" t="str">
        <f t="shared" si="129"/>
        <v>815300</v>
      </c>
      <c r="E565" s="93" t="s">
        <v>528</v>
      </c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>
        <f>VLOOKUP(B:B,'[3]תשלומים 2017'!B:R,15,0)</f>
        <v>74000</v>
      </c>
      <c r="Q565" s="95">
        <f>VLOOKUP(B:B,'[3]דוח כספי 10.17 מעודכן'!A:D,4,0)</f>
        <v>73944.759999999995</v>
      </c>
      <c r="R565" s="95">
        <f>VLOOKUP(B:B,'[3]תשלומים 2017'!B:T,17,0)</f>
        <v>90000</v>
      </c>
      <c r="S565" s="95">
        <f t="shared" si="130"/>
        <v>88733.712</v>
      </c>
      <c r="T565" s="95">
        <f>VLOOKUP('פירוט תקציב 2017 ו 2018'!B565,'תשלומים 2017'!$A$2:$Q$391,17,0)</f>
        <v>90000</v>
      </c>
      <c r="U565" s="95">
        <v>90000</v>
      </c>
      <c r="V565" s="110"/>
      <c r="W565" s="110"/>
    </row>
    <row r="566" spans="2:23" ht="15">
      <c r="B566" s="18">
        <v>1815700110</v>
      </c>
      <c r="C566" s="117" t="str">
        <f t="shared" si="131"/>
        <v>110</v>
      </c>
      <c r="D566" s="117" t="str">
        <f t="shared" si="129"/>
        <v>815700</v>
      </c>
      <c r="E566" s="19" t="s">
        <v>529</v>
      </c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>
        <f>VLOOKUP(B:B,'[3]תשלומים 2017'!B:R,15,0)</f>
        <v>9666000</v>
      </c>
      <c r="Q566" s="119">
        <f>VLOOKUP(B:B,'[3]דוח כספי 10.17 מעודכן'!A:D,4,0)</f>
        <v>7577252.8799999999</v>
      </c>
      <c r="R566" s="119">
        <f>VLOOKUP(B:B,'[3]תשלומים 2017'!B:T,17,0)</f>
        <v>9900000</v>
      </c>
      <c r="S566" s="119">
        <f>Q566/9*12</f>
        <v>10103003.84</v>
      </c>
      <c r="T566" s="95">
        <f>VLOOKUP('פירוט תקציב 2017 ו 2018'!B566,'תשלומים 2017'!$A$2:$Q$391,17,0)</f>
        <v>9900000</v>
      </c>
      <c r="U566" s="119">
        <v>10871000</v>
      </c>
      <c r="V566" s="131">
        <v>52.52</v>
      </c>
      <c r="W566" s="131">
        <f>52.52+3.08</f>
        <v>55.6</v>
      </c>
    </row>
    <row r="567" spans="2:23" ht="15">
      <c r="B567" s="18">
        <v>1815700312</v>
      </c>
      <c r="C567" s="117" t="str">
        <f t="shared" si="131"/>
        <v>312</v>
      </c>
      <c r="D567" s="117" t="str">
        <f t="shared" si="129"/>
        <v>815700</v>
      </c>
      <c r="E567" s="19" t="s">
        <v>530</v>
      </c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>
        <f>VLOOKUP(B:B,'[3]תשלומים 2017'!B:R,15,0)</f>
        <v>0</v>
      </c>
      <c r="Q567" s="119">
        <f>VLOOKUP(B:B,'[3]דוח כספי 10.17 מעודכן'!A:D,4,0)</f>
        <v>0</v>
      </c>
      <c r="R567" s="119">
        <f>VLOOKUP(B:B,'[3]תשלומים 2017'!B:T,17,0)</f>
        <v>0</v>
      </c>
      <c r="S567" s="119">
        <f>Q567/10*12</f>
        <v>0</v>
      </c>
      <c r="T567" s="95">
        <f>VLOOKUP('פירוט תקציב 2017 ו 2018'!B567,'תשלומים 2017'!$A$2:$Q$391,17,0)</f>
        <v>0</v>
      </c>
      <c r="U567" s="119">
        <v>0</v>
      </c>
      <c r="V567" s="132"/>
      <c r="W567" s="132"/>
    </row>
    <row r="568" spans="2:23" ht="15">
      <c r="B568" s="24">
        <v>1815710432</v>
      </c>
      <c r="C568" s="127" t="str">
        <f t="shared" si="131"/>
        <v>432</v>
      </c>
      <c r="D568" s="127" t="str">
        <f t="shared" si="129"/>
        <v>815710</v>
      </c>
      <c r="E568" s="25" t="s">
        <v>531</v>
      </c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>
        <f>VLOOKUP(B:B,'[3]תשלומים 2017'!B:R,15,0)</f>
        <v>0</v>
      </c>
      <c r="Q568" s="129">
        <f>VLOOKUP(B:B,'[3]דוח כספי 10.17 מעודכן'!A:D,4,0)</f>
        <v>440000</v>
      </c>
      <c r="R568" s="129">
        <f>VLOOKUP(B:B,'[3]תשלומים 2017'!B:T,17,0)</f>
        <v>440000</v>
      </c>
      <c r="S568" s="129">
        <f>Q568/10*12</f>
        <v>528000</v>
      </c>
      <c r="T568" s="95">
        <f>VLOOKUP('פירוט תקציב 2017 ו 2018'!B568,'תשלומים 2017'!$A$2:$Q$391,17,0)</f>
        <v>440000</v>
      </c>
      <c r="U568" s="129">
        <v>520000</v>
      </c>
      <c r="V568" s="133"/>
      <c r="W568" s="133"/>
    </row>
    <row r="569" spans="2:23" ht="15">
      <c r="B569" s="18">
        <v>1815710810</v>
      </c>
      <c r="C569" s="117" t="str">
        <f t="shared" si="131"/>
        <v>810</v>
      </c>
      <c r="D569" s="117" t="str">
        <f t="shared" si="129"/>
        <v>815710</v>
      </c>
      <c r="E569" s="19" t="s">
        <v>140</v>
      </c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>
        <f>VLOOKUP(B:B,'[3]תשלומים 2017'!B:R,15,0)</f>
        <v>0</v>
      </c>
      <c r="Q569" s="119">
        <f>VLOOKUP(B:B,'[3]דוח כספי 10.17 מעודכן'!A:D,4,0)</f>
        <v>0</v>
      </c>
      <c r="R569" s="119">
        <f>VLOOKUP(B:B,'[3]תשלומים 2017'!B:T,17,0)</f>
        <v>0</v>
      </c>
      <c r="S569" s="119">
        <f>Q569/10*12</f>
        <v>0</v>
      </c>
      <c r="T569" s="95">
        <f>VLOOKUP('פירוט תקציב 2017 ו 2018'!B569,'תשלומים 2017'!$A$2:$Q$391,17,0)</f>
        <v>0</v>
      </c>
      <c r="U569" s="119">
        <v>0</v>
      </c>
      <c r="V569" s="132"/>
      <c r="W569" s="132"/>
    </row>
    <row r="570" spans="2:23" ht="15">
      <c r="B570" s="18">
        <v>1815800110</v>
      </c>
      <c r="C570" s="117" t="str">
        <f t="shared" si="131"/>
        <v>110</v>
      </c>
      <c r="D570" s="117" t="str">
        <f t="shared" si="129"/>
        <v>815800</v>
      </c>
      <c r="E570" s="19" t="s">
        <v>533</v>
      </c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>
        <f>VLOOKUP(B:B,'[3]תשלומים 2017'!B:R,15,0)</f>
        <v>3242000</v>
      </c>
      <c r="Q570" s="119">
        <f>VLOOKUP(B:B,'[3]דוח כספי 10.17 מעודכן'!A:D,4,0)</f>
        <v>4232146.43</v>
      </c>
      <c r="R570" s="119">
        <f>VLOOKUP(B:B,'[3]תשלומים 2017'!B:T,17,0)</f>
        <v>5800000</v>
      </c>
      <c r="S570" s="119">
        <f>Q570/9*12</f>
        <v>5642861.9066666663</v>
      </c>
      <c r="T570" s="95">
        <f>VLOOKUP('פירוט תקציב 2017 ו 2018'!B570,'תשלומים 2017'!$A$2:$Q$391,17,0)</f>
        <v>5800000</v>
      </c>
      <c r="U570" s="119">
        <v>5900000</v>
      </c>
      <c r="V570" s="132">
        <v>40.96</v>
      </c>
      <c r="W570" s="132">
        <f>40.963+3.86</f>
        <v>44.823</v>
      </c>
    </row>
    <row r="571" spans="2:23" ht="15">
      <c r="B571" s="28"/>
      <c r="C571" s="29"/>
      <c r="D571" s="29"/>
      <c r="E571" s="29" t="s">
        <v>534</v>
      </c>
      <c r="F571" s="30" t="e">
        <f>SUM(#REF!)</f>
        <v>#REF!</v>
      </c>
      <c r="G571" s="30" t="e">
        <f>SUM(#REF!)</f>
        <v>#REF!</v>
      </c>
      <c r="H571" s="30" t="e">
        <f>SUM(#REF!)</f>
        <v>#REF!</v>
      </c>
      <c r="I571" s="30" t="e">
        <f>SUM(#REF!)</f>
        <v>#REF!</v>
      </c>
      <c r="J571" s="30" t="e">
        <f>SUM(#REF!)</f>
        <v>#REF!</v>
      </c>
      <c r="K571" s="30" t="e">
        <f>SUM(#REF!)</f>
        <v>#REF!</v>
      </c>
      <c r="L571" s="30" t="e">
        <f>SUM(#REF!)</f>
        <v>#REF!</v>
      </c>
      <c r="M571" s="30" t="e">
        <f>SUM(#REF!)</f>
        <v>#REF!</v>
      </c>
      <c r="N571" s="30" t="e">
        <f>SUM(#REF!)</f>
        <v>#REF!</v>
      </c>
      <c r="O571" s="30" t="e">
        <f>SUM(#REF!)</f>
        <v>#REF!</v>
      </c>
      <c r="P571" s="30">
        <f t="shared" ref="P571:W571" si="132">SUM(P534:P570)</f>
        <v>14379000</v>
      </c>
      <c r="Q571" s="30">
        <f t="shared" si="132"/>
        <v>13496933.379999999</v>
      </c>
      <c r="R571" s="30">
        <f t="shared" si="132"/>
        <v>17807500</v>
      </c>
      <c r="S571" s="30">
        <f t="shared" si="132"/>
        <v>17849371.789333332</v>
      </c>
      <c r="T571" s="30">
        <f t="shared" si="132"/>
        <v>17807500</v>
      </c>
      <c r="U571" s="30">
        <f t="shared" si="132"/>
        <v>18951000</v>
      </c>
      <c r="V571" s="112">
        <f t="shared" si="132"/>
        <v>99.7</v>
      </c>
      <c r="W571" s="112">
        <f t="shared" si="132"/>
        <v>107.503</v>
      </c>
    </row>
    <row r="572" spans="2:23" ht="15">
      <c r="B572" s="18">
        <v>1817000110</v>
      </c>
      <c r="C572" s="117" t="str">
        <f t="shared" si="131"/>
        <v>110</v>
      </c>
      <c r="D572" s="117" t="str">
        <f>MID(B572,2,6)</f>
        <v>817000</v>
      </c>
      <c r="E572" s="19" t="s">
        <v>413</v>
      </c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>
        <f>VLOOKUP(B:B,'[3]תשלומים 2017'!B:R,15,0)</f>
        <v>1365000</v>
      </c>
      <c r="Q572" s="119">
        <f>VLOOKUP(B:B,'[3]דוח כספי 10.17 מעודכן'!A:D,4,0)</f>
        <v>1280309.97</v>
      </c>
      <c r="R572" s="119">
        <f>VLOOKUP(B:B,'[3]תשלומים 2017'!B:T,17,0)</f>
        <v>1707000</v>
      </c>
      <c r="S572" s="119">
        <f>Q572/9*12</f>
        <v>1707079.96</v>
      </c>
      <c r="T572" s="95">
        <f>VLOOKUP('פירוט תקציב 2017 ו 2018'!B572,'תשלומים 2017'!$A$2:$Q$391,17,0)</f>
        <v>1707000</v>
      </c>
      <c r="U572" s="119">
        <v>1918000</v>
      </c>
      <c r="V572" s="134">
        <v>9.8800000000000008</v>
      </c>
      <c r="W572" s="134">
        <f>9.88+6.78</f>
        <v>16.66</v>
      </c>
    </row>
    <row r="573" spans="2:23" ht="15">
      <c r="B573" s="92">
        <v>1817000460</v>
      </c>
      <c r="C573" s="109" t="str">
        <f t="shared" si="131"/>
        <v>460</v>
      </c>
      <c r="D573" s="109" t="str">
        <f>MID(B573,2,6)</f>
        <v>817000</v>
      </c>
      <c r="E573" s="93" t="s">
        <v>535</v>
      </c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>
        <f>VLOOKUP(B:B,'[3]תשלומים 2017'!B:R,15,0)</f>
        <v>5000</v>
      </c>
      <c r="Q573" s="95">
        <f>VLOOKUP(B:B,'[3]דוח כספי 10.17 מעודכן'!A:D,4,0)</f>
        <v>1501</v>
      </c>
      <c r="R573" s="95">
        <f>VLOOKUP(B:B,'[3]תשלומים 2017'!B:T,17,0)</f>
        <v>2000</v>
      </c>
      <c r="S573" s="95">
        <f>Q573/10*12</f>
        <v>1801.1999999999998</v>
      </c>
      <c r="T573" s="95">
        <f>VLOOKUP('פירוט תקציב 2017 ו 2018'!B573,'תשלומים 2017'!$A$2:$Q$391,17,0)</f>
        <v>2000</v>
      </c>
      <c r="U573" s="95">
        <v>2000</v>
      </c>
      <c r="V573" s="110"/>
      <c r="W573" s="110"/>
    </row>
    <row r="574" spans="2:23" ht="15">
      <c r="B574" s="92">
        <v>1817000470</v>
      </c>
      <c r="C574" s="109" t="str">
        <f t="shared" si="131"/>
        <v>470</v>
      </c>
      <c r="D574" s="109" t="str">
        <f>MID(B574,2,6)</f>
        <v>817000</v>
      </c>
      <c r="E574" s="93" t="s">
        <v>536</v>
      </c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>
        <f>VLOOKUP(B:B,'[3]תשלומים 2017'!B:R,15,0)</f>
        <v>9000</v>
      </c>
      <c r="Q574" s="95">
        <f>VLOOKUP(B:B,'[3]דוח כספי 10.17 מעודכן'!A:D,4,0)</f>
        <v>127</v>
      </c>
      <c r="R574" s="95">
        <f>VLOOKUP(B:B,'[3]תשלומים 2017'!B:T,17,0)</f>
        <v>1000</v>
      </c>
      <c r="S574" s="95">
        <f>Q574/10*12</f>
        <v>152.39999999999998</v>
      </c>
      <c r="T574" s="95">
        <f>VLOOKUP('פירוט תקציב 2017 ו 2018'!B574,'תשלומים 2017'!$A$2:$Q$391,17,0)</f>
        <v>1000</v>
      </c>
      <c r="U574" s="95">
        <v>1000</v>
      </c>
      <c r="V574" s="110"/>
      <c r="W574" s="110"/>
    </row>
    <row r="575" spans="2:23" ht="15">
      <c r="B575" s="92">
        <v>1817100750</v>
      </c>
      <c r="C575" s="109" t="str">
        <f t="shared" si="131"/>
        <v>750</v>
      </c>
      <c r="D575" s="109" t="str">
        <f>MID(B575,2,6)</f>
        <v>817100</v>
      </c>
      <c r="E575" s="93" t="s">
        <v>537</v>
      </c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>
        <f>VLOOKUP(B:B,'[3]תשלומים 2017'!B:R,15,0)</f>
        <v>1060000</v>
      </c>
      <c r="Q575" s="95">
        <f>VLOOKUP(B:B,'[3]דוח כספי 10.17 מעודכן'!A:D,4,0)</f>
        <v>547539.55000000005</v>
      </c>
      <c r="R575" s="95">
        <v>1060000</v>
      </c>
      <c r="S575" s="95">
        <f>Q575/10*12</f>
        <v>657047.46</v>
      </c>
      <c r="T575" s="95">
        <f>VLOOKUP('פירוט תקציב 2017 ו 2018'!B575,'תשלומים 2017'!$A$2:$Q$391,17,0)</f>
        <v>730000</v>
      </c>
      <c r="U575" s="103">
        <v>1060000</v>
      </c>
      <c r="V575" s="110"/>
      <c r="W575" s="110"/>
    </row>
    <row r="576" spans="2:23" ht="15">
      <c r="B576" s="28"/>
      <c r="C576" s="29"/>
      <c r="D576" s="29"/>
      <c r="E576" s="29" t="s">
        <v>539</v>
      </c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>
        <f t="shared" ref="P576:W576" si="133">SUM(P572:P575)</f>
        <v>2439000</v>
      </c>
      <c r="Q576" s="30">
        <f t="shared" si="133"/>
        <v>1829477.52</v>
      </c>
      <c r="R576" s="30">
        <f t="shared" si="133"/>
        <v>2770000</v>
      </c>
      <c r="S576" s="30">
        <f t="shared" si="133"/>
        <v>2366081.0199999996</v>
      </c>
      <c r="T576" s="30">
        <f>SUM(T572:T575)</f>
        <v>2440000</v>
      </c>
      <c r="U576" s="30">
        <f>SUM(U572:U575)</f>
        <v>2981000</v>
      </c>
      <c r="V576" s="112">
        <f t="shared" si="133"/>
        <v>9.8800000000000008</v>
      </c>
      <c r="W576" s="112">
        <f t="shared" si="133"/>
        <v>16.66</v>
      </c>
    </row>
    <row r="577" spans="2:23" ht="15">
      <c r="B577" s="92">
        <v>1817300110</v>
      </c>
      <c r="C577" s="109" t="str">
        <f t="shared" si="131"/>
        <v>110</v>
      </c>
      <c r="D577" s="109" t="str">
        <f>MID(B577,2,6)</f>
        <v>817300</v>
      </c>
      <c r="E577" s="93" t="s">
        <v>540</v>
      </c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>
        <f>VLOOKUP(B:B,'[3]תשלומים 2017'!B:R,15,0)</f>
        <v>730000</v>
      </c>
      <c r="Q577" s="95">
        <f>VLOOKUP(B:B,'[3]דוח כספי 10.17 מעודכן'!A:D,4,0)</f>
        <v>527083.56000000006</v>
      </c>
      <c r="R577" s="95">
        <f>VLOOKUP(B:B,'[3]תשלומים 2017'!B:T,17,0)</f>
        <v>703000</v>
      </c>
      <c r="S577" s="95">
        <f>Q577/9*12</f>
        <v>702778.08000000007</v>
      </c>
      <c r="T577" s="95">
        <f>VLOOKUP('פירוט תקציב 2017 ו 2018'!B577,'תשלומים 2017'!$A$2:$Q$391,17,0)</f>
        <v>703000</v>
      </c>
      <c r="U577" s="95">
        <v>749000</v>
      </c>
      <c r="V577" s="111">
        <v>3.95</v>
      </c>
      <c r="W577" s="111">
        <v>3.95</v>
      </c>
    </row>
    <row r="578" spans="2:23" ht="15">
      <c r="B578" s="92">
        <v>1817300410</v>
      </c>
      <c r="C578" s="109" t="str">
        <f t="shared" si="131"/>
        <v>410</v>
      </c>
      <c r="D578" s="109" t="str">
        <f>MID(B578,2,6)</f>
        <v>817300</v>
      </c>
      <c r="E578" s="93" t="s">
        <v>541</v>
      </c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>
        <f>VLOOKUP(B:B,'[3]תשלומים 2017'!B:R,15,0)</f>
        <v>24000</v>
      </c>
      <c r="Q578" s="95">
        <f>VLOOKUP(B:B,'[3]דוח כספי 10.17 מעודכן'!A:D,4,0)</f>
        <v>24000</v>
      </c>
      <c r="R578" s="95">
        <f>VLOOKUP(B:B,'[3]תשלומים 2017'!B:T,17,0)</f>
        <v>24000</v>
      </c>
      <c r="S578" s="95">
        <f>Q578/10*12</f>
        <v>28800</v>
      </c>
      <c r="T578" s="95">
        <f>VLOOKUP('פירוט תקציב 2017 ו 2018'!B578,'תשלומים 2017'!$A$2:$Q$391,17,0)</f>
        <v>24000</v>
      </c>
      <c r="U578" s="95">
        <v>29000</v>
      </c>
      <c r="V578" s="110"/>
      <c r="W578" s="110"/>
    </row>
    <row r="579" spans="2:23" ht="15">
      <c r="B579" s="92">
        <v>1817300540</v>
      </c>
      <c r="C579" s="109" t="str">
        <f t="shared" si="131"/>
        <v>540</v>
      </c>
      <c r="D579" s="109" t="str">
        <f>MID(B579,2,6)</f>
        <v>817300</v>
      </c>
      <c r="E579" s="93" t="s">
        <v>542</v>
      </c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>
        <f>VLOOKUP(B:B,'[3]תשלומים 2017'!B:R,15,0)</f>
        <v>0</v>
      </c>
      <c r="Q579" s="95">
        <f>VLOOKUP(B:B,'[3]דוח כספי 10.17 מעודכן'!A:D,4,0)</f>
        <v>7472.62</v>
      </c>
      <c r="R579" s="95">
        <f>VLOOKUP(B:B,'[3]תשלומים 2017'!B:T,17,0)</f>
        <v>9000</v>
      </c>
      <c r="S579" s="95">
        <f>Q579/10*12</f>
        <v>8967.1440000000002</v>
      </c>
      <c r="T579" s="95">
        <f>VLOOKUP('פירוט תקציב 2017 ו 2018'!B579,'תשלומים 2017'!$A$2:$Q$391,17,0)</f>
        <v>9000</v>
      </c>
      <c r="U579" s="95">
        <v>10000</v>
      </c>
      <c r="V579" s="110"/>
      <c r="W579" s="110"/>
    </row>
    <row r="580" spans="2:23" ht="15">
      <c r="B580" s="92">
        <v>1817300750</v>
      </c>
      <c r="C580" s="109" t="str">
        <f t="shared" si="131"/>
        <v>750</v>
      </c>
      <c r="D580" s="109" t="str">
        <f>MID(B580,2,6)</f>
        <v>817300</v>
      </c>
      <c r="E580" s="93" t="s">
        <v>543</v>
      </c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>
        <f>VLOOKUP(B:B,'[3]תשלומים 2017'!B:R,15,0)</f>
        <v>0</v>
      </c>
      <c r="Q580" s="95">
        <f>VLOOKUP(B:B,'[3]דוח כספי 10.17 מעודכן'!A:D,4,0)</f>
        <v>0</v>
      </c>
      <c r="R580" s="95">
        <f>VLOOKUP(B:B,'[3]תשלומים 2017'!B:T,17,0)</f>
        <v>0</v>
      </c>
      <c r="S580" s="95">
        <f>Q580/10*12</f>
        <v>0</v>
      </c>
      <c r="T580" s="95">
        <f>VLOOKUP('פירוט תקציב 2017 ו 2018'!B580,'תשלומים 2017'!$A$2:$Q$391,17,0)</f>
        <v>0</v>
      </c>
      <c r="U580" s="95">
        <v>0</v>
      </c>
      <c r="V580" s="110"/>
      <c r="W580" s="110"/>
    </row>
    <row r="581" spans="2:23" ht="15">
      <c r="B581" s="92">
        <v>1817300810</v>
      </c>
      <c r="C581" s="109" t="str">
        <f t="shared" si="131"/>
        <v>810</v>
      </c>
      <c r="D581" s="109" t="str">
        <f>MID(B581,2,6)</f>
        <v>817300</v>
      </c>
      <c r="E581" s="93" t="s">
        <v>544</v>
      </c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>
        <f>VLOOKUP(B:B,'[3]תשלומים 2017'!B:R,15,0)</f>
        <v>71000</v>
      </c>
      <c r="Q581" s="95">
        <f>VLOOKUP(B:B,'[3]דוח כספי 10.17 מעודכן'!A:D,4,0)</f>
        <v>16800</v>
      </c>
      <c r="R581" s="95">
        <f>VLOOKUP(B:B,'[3]תשלומים 2017'!B:T,17,0)</f>
        <v>33000</v>
      </c>
      <c r="S581" s="95">
        <f>Q581/10*12</f>
        <v>20160</v>
      </c>
      <c r="T581" s="95">
        <f>VLOOKUP('פירוט תקציב 2017 ו 2018'!B581,'תשלומים 2017'!$A$2:$Q$391,17,0)</f>
        <v>33000</v>
      </c>
      <c r="U581" s="95">
        <v>21000</v>
      </c>
      <c r="V581" s="110"/>
      <c r="W581" s="110"/>
    </row>
    <row r="582" spans="2:23" ht="15">
      <c r="B582" s="28"/>
      <c r="C582" s="29"/>
      <c r="D582" s="29"/>
      <c r="E582" s="29" t="s">
        <v>133</v>
      </c>
      <c r="F582" s="30" t="e">
        <f>SUM(#REF!)</f>
        <v>#REF!</v>
      </c>
      <c r="G582" s="30" t="e">
        <f>SUM(#REF!)</f>
        <v>#REF!</v>
      </c>
      <c r="H582" s="30" t="e">
        <f>SUM(#REF!)</f>
        <v>#REF!</v>
      </c>
      <c r="I582" s="30" t="e">
        <f>SUM(#REF!)</f>
        <v>#REF!</v>
      </c>
      <c r="J582" s="30" t="e">
        <f>SUM(#REF!)</f>
        <v>#REF!</v>
      </c>
      <c r="K582" s="30" t="e">
        <f>SUM(#REF!)</f>
        <v>#REF!</v>
      </c>
      <c r="L582" s="30" t="e">
        <f>SUM(#REF!)</f>
        <v>#REF!</v>
      </c>
      <c r="M582" s="30" t="e">
        <f>SUM(#REF!)</f>
        <v>#REF!</v>
      </c>
      <c r="N582" s="30" t="e">
        <f>SUM(#REF!)</f>
        <v>#REF!</v>
      </c>
      <c r="O582" s="30" t="e">
        <f>SUM(#REF!)</f>
        <v>#REF!</v>
      </c>
      <c r="P582" s="30">
        <f t="shared" ref="P582:S582" si="134">SUM(P577:P581)</f>
        <v>825000</v>
      </c>
      <c r="Q582" s="30">
        <f t="shared" si="134"/>
        <v>575356.18000000005</v>
      </c>
      <c r="R582" s="30">
        <f t="shared" si="134"/>
        <v>769000</v>
      </c>
      <c r="S582" s="30">
        <f t="shared" si="134"/>
        <v>760705.22400000005</v>
      </c>
      <c r="T582" s="30">
        <f>SUM(T577:T581)</f>
        <v>769000</v>
      </c>
      <c r="U582" s="30">
        <f>SUM(U577:U581)</f>
        <v>809000</v>
      </c>
      <c r="V582" s="112">
        <f t="shared" ref="V582:W582" si="135">SUM(V577:V581)</f>
        <v>3.95</v>
      </c>
      <c r="W582" s="112">
        <f t="shared" si="135"/>
        <v>3.95</v>
      </c>
    </row>
    <row r="583" spans="2:23" ht="15">
      <c r="B583" s="92">
        <v>1817700110</v>
      </c>
      <c r="C583" s="109" t="str">
        <f t="shared" si="131"/>
        <v>110</v>
      </c>
      <c r="D583" s="109" t="str">
        <f t="shared" ref="D583:D596" si="136">MID(B583,2,6)</f>
        <v>817700</v>
      </c>
      <c r="E583" s="93" t="s">
        <v>545</v>
      </c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>
        <f>VLOOKUP(B:B,'[3]תשלומים 2017'!B:R,15,0)</f>
        <v>299000</v>
      </c>
      <c r="Q583" s="95">
        <f>VLOOKUP(B:B,'[3]דוח כספי 10.17 מעודכן'!A:D,4,0)</f>
        <v>167643.94</v>
      </c>
      <c r="R583" s="95">
        <f>VLOOKUP(B:B,'[3]תשלומים 2017'!B:T,17,0)</f>
        <v>212000</v>
      </c>
      <c r="S583" s="95">
        <f>Q583/9*12</f>
        <v>223525.25333333336</v>
      </c>
      <c r="T583" s="95">
        <f>VLOOKUP('פירוט תקציב 2017 ו 2018'!B583,'תשלומים 2017'!$A$2:$Q$391,17,0)</f>
        <v>212000</v>
      </c>
      <c r="U583" s="95">
        <v>188000</v>
      </c>
      <c r="V583" s="96">
        <v>1.98</v>
      </c>
      <c r="W583" s="96">
        <v>1.98</v>
      </c>
    </row>
    <row r="584" spans="2:23" ht="15">
      <c r="B584" s="92">
        <v>1817700810</v>
      </c>
      <c r="C584" s="109" t="str">
        <f t="shared" si="131"/>
        <v>810</v>
      </c>
      <c r="D584" s="109" t="str">
        <f t="shared" si="136"/>
        <v>817700</v>
      </c>
      <c r="E584" s="93" t="s">
        <v>546</v>
      </c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>
        <f>VLOOKUP(B:B,'[3]תשלומים 2017'!B:R,15,0)</f>
        <v>32000</v>
      </c>
      <c r="Q584" s="95">
        <f>VLOOKUP(B:B,'[3]דוח כספי 10.17 מעודכן'!A:D,4,0)</f>
        <v>24800</v>
      </c>
      <c r="R584" s="95">
        <f>VLOOKUP(B:B,'[3]תשלומים 2017'!B:T,17,0)</f>
        <v>30000</v>
      </c>
      <c r="S584" s="95">
        <f t="shared" ref="S584:S595" si="137">Q584/10*12</f>
        <v>29760</v>
      </c>
      <c r="T584" s="95">
        <f>VLOOKUP('פירוט תקציב 2017 ו 2018'!B584,'תשלומים 2017'!$A$2:$Q$391,17,0)</f>
        <v>30000</v>
      </c>
      <c r="U584" s="95">
        <v>30000</v>
      </c>
      <c r="V584" s="110"/>
      <c r="W584" s="110"/>
    </row>
    <row r="585" spans="2:23" ht="15">
      <c r="B585" s="92">
        <v>1817710750</v>
      </c>
      <c r="C585" s="109" t="str">
        <f t="shared" si="131"/>
        <v>750</v>
      </c>
      <c r="D585" s="109" t="str">
        <f t="shared" si="136"/>
        <v>817710</v>
      </c>
      <c r="E585" s="93" t="s">
        <v>547</v>
      </c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>
        <f>VLOOKUP(B:B,'[3]תשלומים 2017'!B:R,15,0)</f>
        <v>0</v>
      </c>
      <c r="Q585" s="95">
        <f>VLOOKUP(B:B,'[3]דוח כספי 10.17 מעודכן'!A:D,4,0)</f>
        <v>8951</v>
      </c>
      <c r="R585" s="95">
        <f>VLOOKUP(B:B,'[3]תשלומים 2017'!B:T,17,0)</f>
        <v>11000</v>
      </c>
      <c r="S585" s="95">
        <f t="shared" si="137"/>
        <v>10741.2</v>
      </c>
      <c r="T585" s="95">
        <f>VLOOKUP('פירוט תקציב 2017 ו 2018'!B585,'תשלומים 2017'!$A$2:$Q$391,17,0)</f>
        <v>11000</v>
      </c>
      <c r="U585" s="95">
        <v>11000</v>
      </c>
      <c r="V585" s="110"/>
      <c r="W585" s="110"/>
    </row>
    <row r="586" spans="2:23" ht="15">
      <c r="B586" s="92">
        <v>1817720920</v>
      </c>
      <c r="C586" s="109" t="str">
        <f t="shared" si="131"/>
        <v>920</v>
      </c>
      <c r="D586" s="109" t="str">
        <f t="shared" si="136"/>
        <v>817720</v>
      </c>
      <c r="E586" s="93" t="s">
        <v>548</v>
      </c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>
        <f>VLOOKUP(B:B,'[3]תשלומים 2017'!B:R,15,0)</f>
        <v>0</v>
      </c>
      <c r="Q586" s="95">
        <f>VLOOKUP(B:B,'[3]דוח כספי 10.17 מעודכן'!A:D,4,0)</f>
        <v>0</v>
      </c>
      <c r="R586" s="95">
        <f>VLOOKUP(B:B,'[3]תשלומים 2017'!B:T,17,0)</f>
        <v>0</v>
      </c>
      <c r="S586" s="95">
        <f t="shared" si="137"/>
        <v>0</v>
      </c>
      <c r="T586" s="95">
        <f>VLOOKUP('פירוט תקציב 2017 ו 2018'!B586,'תשלומים 2017'!$A$2:$Q$391,17,0)</f>
        <v>0</v>
      </c>
      <c r="U586" s="95">
        <v>0</v>
      </c>
      <c r="V586" s="110"/>
      <c r="W586" s="110"/>
    </row>
    <row r="587" spans="2:23" ht="15">
      <c r="B587" s="92">
        <v>1817800710</v>
      </c>
      <c r="C587" s="109" t="str">
        <f t="shared" si="131"/>
        <v>710</v>
      </c>
      <c r="D587" s="109" t="str">
        <f t="shared" si="136"/>
        <v>817800</v>
      </c>
      <c r="E587" s="93" t="s">
        <v>549</v>
      </c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103">
        <f>VLOOKUP(B:B,'[3]תשלומים 2017'!B:R,15,0)</f>
        <v>1594000</v>
      </c>
      <c r="Q587" s="103">
        <f>VLOOKUP(B:B,'[3]דוח כספי 10.17 מעודכן'!A:D,4,0)</f>
        <v>1397367.78</v>
      </c>
      <c r="R587" s="103">
        <f>VLOOKUP(B:B,'[3]תשלומים 2017'!B:T,17,0)</f>
        <v>1510000</v>
      </c>
      <c r="S587" s="103">
        <f t="shared" si="137"/>
        <v>1676841.3359999999</v>
      </c>
      <c r="T587" s="95">
        <f>VLOOKUP('פירוט תקציב 2017 ו 2018'!B587,'תשלומים 2017'!$A$2:$Q$391,17,0)</f>
        <v>1510000</v>
      </c>
      <c r="U587" s="103">
        <v>1510000</v>
      </c>
      <c r="V587" s="110"/>
      <c r="W587" s="110"/>
    </row>
    <row r="588" spans="2:23" ht="15">
      <c r="B588" s="92">
        <v>1817800711</v>
      </c>
      <c r="C588" s="109" t="str">
        <f t="shared" si="131"/>
        <v>711</v>
      </c>
      <c r="D588" s="109" t="str">
        <f t="shared" si="136"/>
        <v>817800</v>
      </c>
      <c r="E588" s="93" t="s">
        <v>145</v>
      </c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103">
        <f>VLOOKUP(B:B,'[3]תשלומים 2017'!B:R,15,0)</f>
        <v>208000</v>
      </c>
      <c r="Q588" s="103">
        <f>VLOOKUP(B:B,'[3]דוח כספי 10.17 מעודכן'!A:D,4,0)</f>
        <v>0</v>
      </c>
      <c r="R588" s="103">
        <f>VLOOKUP(B:B,'[3]תשלומים 2017'!B:T,17,0)</f>
        <v>0</v>
      </c>
      <c r="S588" s="103">
        <f t="shared" si="137"/>
        <v>0</v>
      </c>
      <c r="T588" s="95">
        <f>VLOOKUP('פירוט תקציב 2017 ו 2018'!B588,'תשלומים 2017'!$A$2:$Q$391,17,0)</f>
        <v>0</v>
      </c>
      <c r="U588" s="103">
        <v>0</v>
      </c>
      <c r="V588" s="110"/>
      <c r="W588" s="110"/>
    </row>
    <row r="589" spans="2:23" ht="15">
      <c r="B589" s="92">
        <v>1817800810</v>
      </c>
      <c r="C589" s="109" t="str">
        <f t="shared" si="131"/>
        <v>810</v>
      </c>
      <c r="D589" s="109" t="str">
        <f t="shared" si="136"/>
        <v>817800</v>
      </c>
      <c r="E589" s="93" t="s">
        <v>145</v>
      </c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>
        <f>VLOOKUP(B:B,'[3]תשלומים 2017'!B:R,15,0)</f>
        <v>0</v>
      </c>
      <c r="Q589" s="95">
        <f>VLOOKUP(B:B,'[3]דוח כספי 10.17 מעודכן'!A:D,4,0)</f>
        <v>0</v>
      </c>
      <c r="R589" s="95">
        <f>VLOOKUP(B:B,'[3]תשלומים 2017'!B:T,17,0)</f>
        <v>0</v>
      </c>
      <c r="S589" s="95">
        <f t="shared" si="137"/>
        <v>0</v>
      </c>
      <c r="T589" s="95">
        <f>VLOOKUP('פירוט תקציב 2017 ו 2018'!B589,'תשלומים 2017'!$A$2:$Q$391,17,0)</f>
        <v>0</v>
      </c>
      <c r="U589" s="95">
        <v>0</v>
      </c>
      <c r="V589" s="110"/>
      <c r="W589" s="110"/>
    </row>
    <row r="590" spans="2:23" ht="15">
      <c r="B590" s="92">
        <v>1817830710</v>
      </c>
      <c r="C590" s="109" t="str">
        <f t="shared" si="131"/>
        <v>710</v>
      </c>
      <c r="D590" s="109" t="str">
        <f t="shared" si="136"/>
        <v>817830</v>
      </c>
      <c r="E590" s="93" t="s">
        <v>145</v>
      </c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>
        <f>VLOOKUP(B:B,'[3]תשלומים 2017'!B:R,15,0)</f>
        <v>0</v>
      </c>
      <c r="Q590" s="95">
        <f>VLOOKUP(B:B,'[3]דוח כספי 10.17 מעודכן'!A:D,4,0)</f>
        <v>0</v>
      </c>
      <c r="R590" s="95">
        <f>VLOOKUP(B:B,'[3]תשלומים 2017'!B:T,17,0)</f>
        <v>0</v>
      </c>
      <c r="S590" s="95">
        <f t="shared" si="137"/>
        <v>0</v>
      </c>
      <c r="T590" s="95">
        <f>VLOOKUP('פירוט תקציב 2017 ו 2018'!B590,'תשלומים 2017'!$A$2:$Q$391,17,0)</f>
        <v>0</v>
      </c>
      <c r="U590" s="95">
        <v>0</v>
      </c>
      <c r="V590" s="110"/>
      <c r="W590" s="110"/>
    </row>
    <row r="591" spans="2:23" ht="15">
      <c r="B591" s="92">
        <v>1817840710</v>
      </c>
      <c r="C591" s="109" t="str">
        <f t="shared" si="131"/>
        <v>710</v>
      </c>
      <c r="D591" s="109" t="str">
        <f t="shared" si="136"/>
        <v>817840</v>
      </c>
      <c r="E591" s="93" t="s">
        <v>551</v>
      </c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>
        <f>VLOOKUP(B:B,'[3]תשלומים 2017'!B:R,15,0)</f>
        <v>0</v>
      </c>
      <c r="Q591" s="95">
        <f>VLOOKUP(B:B,'[3]דוח כספי 10.17 מעודכן'!A:D,4,0)</f>
        <v>0</v>
      </c>
      <c r="R591" s="95">
        <f>VLOOKUP(B:B,'[3]תשלומים 2017'!B:T,17,0)</f>
        <v>0</v>
      </c>
      <c r="S591" s="95">
        <f t="shared" si="137"/>
        <v>0</v>
      </c>
      <c r="T591" s="95">
        <f>VLOOKUP('פירוט תקציב 2017 ו 2018'!B591,'תשלומים 2017'!$A$2:$Q$391,17,0)</f>
        <v>0</v>
      </c>
      <c r="U591" s="95">
        <v>0</v>
      </c>
      <c r="V591" s="110"/>
      <c r="W591" s="110"/>
    </row>
    <row r="592" spans="2:23" ht="15">
      <c r="B592" s="92">
        <v>1817880810</v>
      </c>
      <c r="C592" s="109" t="str">
        <f t="shared" si="131"/>
        <v>810</v>
      </c>
      <c r="D592" s="109" t="str">
        <f t="shared" si="136"/>
        <v>817880</v>
      </c>
      <c r="E592" s="93" t="s">
        <v>552</v>
      </c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>
        <f>VLOOKUP(B:B,'[3]תשלומים 2017'!B:R,15,0)</f>
        <v>0</v>
      </c>
      <c r="Q592" s="95">
        <f>VLOOKUP(B:B,'[3]דוח כספי 10.17 מעודכן'!A:D,4,0)</f>
        <v>0</v>
      </c>
      <c r="R592" s="95">
        <f>VLOOKUP(B:B,'[3]תשלומים 2017'!B:T,17,0)</f>
        <v>0</v>
      </c>
      <c r="S592" s="95">
        <f t="shared" si="137"/>
        <v>0</v>
      </c>
      <c r="T592" s="95">
        <f>VLOOKUP('פירוט תקציב 2017 ו 2018'!B592,'תשלומים 2017'!$A$2:$Q$391,17,0)</f>
        <v>0</v>
      </c>
      <c r="U592" s="95">
        <v>0</v>
      </c>
      <c r="V592" s="110"/>
      <c r="W592" s="110"/>
    </row>
    <row r="593" spans="2:23" ht="15">
      <c r="B593" s="92">
        <v>1817900750</v>
      </c>
      <c r="C593" s="109" t="str">
        <f t="shared" si="131"/>
        <v>750</v>
      </c>
      <c r="D593" s="109" t="str">
        <f t="shared" si="136"/>
        <v>817900</v>
      </c>
      <c r="E593" s="93" t="s">
        <v>553</v>
      </c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>
        <f>VLOOKUP(B:B,'[3]תשלומים 2017'!B:R,15,0)</f>
        <v>606500</v>
      </c>
      <c r="Q593" s="95">
        <f>VLOOKUP(B:B,'[3]דוח כספי 10.17 מעודכן'!A:D,4,0)</f>
        <v>1771153.62</v>
      </c>
      <c r="R593" s="95">
        <f>VLOOKUP(B:B,'[3]תשלומים 2017'!B:T,17,0)</f>
        <v>2362000</v>
      </c>
      <c r="S593" s="95">
        <f t="shared" si="137"/>
        <v>2125384.3440000005</v>
      </c>
      <c r="T593" s="95">
        <f>VLOOKUP('פירוט תקציב 2017 ו 2018'!B593,'תשלומים 2017'!$A$2:$Q$391,17,0)</f>
        <v>2362000</v>
      </c>
      <c r="U593" s="103">
        <v>2362000</v>
      </c>
      <c r="V593" s="110"/>
      <c r="W593" s="110"/>
    </row>
    <row r="594" spans="2:23" ht="15">
      <c r="B594" s="92">
        <v>1817900810</v>
      </c>
      <c r="C594" s="109" t="str">
        <f t="shared" si="131"/>
        <v>810</v>
      </c>
      <c r="D594" s="109" t="str">
        <f t="shared" si="136"/>
        <v>817900</v>
      </c>
      <c r="E594" s="93" t="s">
        <v>553</v>
      </c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>
        <f>VLOOKUP(B:B,'[3]תשלומים 2017'!B:R,15,0)</f>
        <v>606500</v>
      </c>
      <c r="Q594" s="95">
        <f>VLOOKUP(B:B,'[3]דוח כספי 10.17 מעודכן'!A:D,4,0)</f>
        <v>195882</v>
      </c>
      <c r="R594" s="95">
        <f>VLOOKUP(B:B,'[3]תשלומים 2017'!B:T,17,0)</f>
        <v>0</v>
      </c>
      <c r="S594" s="95">
        <f t="shared" si="137"/>
        <v>235058.40000000002</v>
      </c>
      <c r="T594" s="95">
        <f>VLOOKUP('פירוט תקציב 2017 ו 2018'!B594,'תשלומים 2017'!$A$2:$Q$391,17,0)</f>
        <v>0</v>
      </c>
      <c r="U594" s="95">
        <v>0</v>
      </c>
      <c r="V594" s="110"/>
      <c r="W594" s="110"/>
    </row>
    <row r="595" spans="2:23" ht="15">
      <c r="B595" s="92">
        <v>1817900850</v>
      </c>
      <c r="C595" s="109" t="str">
        <f t="shared" si="131"/>
        <v>850</v>
      </c>
      <c r="D595" s="109" t="str">
        <f t="shared" si="136"/>
        <v>817900</v>
      </c>
      <c r="E595" s="93" t="s">
        <v>554</v>
      </c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>
        <f>VLOOKUP(B:B,'[3]תשלומים 2017'!B:R,15,0)</f>
        <v>0</v>
      </c>
      <c r="Q595" s="95">
        <f>VLOOKUP(B:B,'[3]דוח כספי 10.17 מעודכן'!A:D,4,0)</f>
        <v>0</v>
      </c>
      <c r="R595" s="95">
        <f>VLOOKUP(B:B,'[3]תשלומים 2017'!B:T,17,0)</f>
        <v>0</v>
      </c>
      <c r="S595" s="95">
        <f t="shared" si="137"/>
        <v>0</v>
      </c>
      <c r="T595" s="95">
        <f>VLOOKUP('פירוט תקציב 2017 ו 2018'!B595,'תשלומים 2017'!$A$2:$Q$391,17,0)</f>
        <v>0</v>
      </c>
      <c r="U595" s="95">
        <v>0</v>
      </c>
      <c r="V595" s="110"/>
      <c r="W595" s="110"/>
    </row>
    <row r="596" spans="2:23" ht="15">
      <c r="B596" s="92">
        <v>1818000110</v>
      </c>
      <c r="C596" s="109" t="str">
        <f t="shared" si="131"/>
        <v>110</v>
      </c>
      <c r="D596" s="109" t="str">
        <f t="shared" si="136"/>
        <v>818000</v>
      </c>
      <c r="E596" s="93" t="s">
        <v>413</v>
      </c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>
        <f>VLOOKUP(B:B,'[3]תשלומים 2017'!B:R,15,0)</f>
        <v>0</v>
      </c>
      <c r="Q596" s="95">
        <f>VLOOKUP(B:B,'[3]דוח כספי 10.17 מעודכן'!A:D,4,0)</f>
        <v>0</v>
      </c>
      <c r="R596" s="95">
        <f>VLOOKUP(B:B,'[3]תשלומים 2017'!B:T,17,0)</f>
        <v>0</v>
      </c>
      <c r="S596" s="95">
        <f>Q596/9*12</f>
        <v>0</v>
      </c>
      <c r="T596" s="95">
        <f>VLOOKUP('פירוט תקציב 2017 ו 2018'!B596,'תשלומים 2017'!$A$2:$Q$391,17,0)</f>
        <v>0</v>
      </c>
      <c r="U596" s="95">
        <v>0</v>
      </c>
      <c r="V596" s="96"/>
      <c r="W596" s="96"/>
    </row>
    <row r="597" spans="2:23" ht="15">
      <c r="B597" s="28"/>
      <c r="C597" s="29"/>
      <c r="D597" s="29"/>
      <c r="E597" s="29" t="s">
        <v>555</v>
      </c>
      <c r="F597" s="30" t="e">
        <f>SUM(#REF!)</f>
        <v>#REF!</v>
      </c>
      <c r="G597" s="30" t="e">
        <f>SUM(#REF!)</f>
        <v>#REF!</v>
      </c>
      <c r="H597" s="30" t="e">
        <f>SUM(#REF!)</f>
        <v>#REF!</v>
      </c>
      <c r="I597" s="30" t="e">
        <f>SUM(#REF!)</f>
        <v>#REF!</v>
      </c>
      <c r="J597" s="30" t="e">
        <f>SUM(#REF!)</f>
        <v>#REF!</v>
      </c>
      <c r="K597" s="30" t="e">
        <f>SUM(#REF!)</f>
        <v>#REF!</v>
      </c>
      <c r="L597" s="30" t="e">
        <f>SUM(#REF!)</f>
        <v>#REF!</v>
      </c>
      <c r="M597" s="30" t="e">
        <f>SUM(#REF!)</f>
        <v>#REF!</v>
      </c>
      <c r="N597" s="30" t="e">
        <f>SUM(#REF!)</f>
        <v>#REF!</v>
      </c>
      <c r="O597" s="30" t="e">
        <f>SUM(#REF!)</f>
        <v>#REF!</v>
      </c>
      <c r="P597" s="30">
        <f t="shared" ref="P597:S597" si="138">SUM(P583:P596)</f>
        <v>3346000</v>
      </c>
      <c r="Q597" s="30">
        <f t="shared" si="138"/>
        <v>3565798.34</v>
      </c>
      <c r="R597" s="30">
        <f t="shared" si="138"/>
        <v>4125000</v>
      </c>
      <c r="S597" s="30">
        <f t="shared" si="138"/>
        <v>4301310.5333333341</v>
      </c>
      <c r="T597" s="30">
        <f>SUM(T583:T596)</f>
        <v>4125000</v>
      </c>
      <c r="U597" s="30">
        <f>SUM(U583:U596)</f>
        <v>4101000</v>
      </c>
      <c r="V597" s="112">
        <f t="shared" ref="V597:W597" si="139">SUM(V583:V596)</f>
        <v>1.98</v>
      </c>
      <c r="W597" s="112">
        <f t="shared" si="139"/>
        <v>1.98</v>
      </c>
    </row>
    <row r="598" spans="2:23" ht="15">
      <c r="B598" s="32"/>
      <c r="C598" s="33"/>
      <c r="D598" s="33"/>
      <c r="E598" s="33" t="s">
        <v>235</v>
      </c>
      <c r="F598" s="34" t="e">
        <f>F597+#REF!+F582+F571+#REF!+#REF!+#REF!+F522+F500+F485</f>
        <v>#REF!</v>
      </c>
      <c r="G598" s="34" t="e">
        <f>G597+#REF!+G582+#REF!+G571+#REF!+#REF!+#REF!+G522+G500+G485</f>
        <v>#REF!</v>
      </c>
      <c r="H598" s="34" t="e">
        <f>H597+#REF!+H582+#REF!+H571+#REF!+#REF!+#REF!+H522+H500+H485</f>
        <v>#REF!</v>
      </c>
      <c r="I598" s="34" t="e">
        <f>I597+#REF!+I582+#REF!+I571+#REF!+#REF!+#REF!+I522+I500+I485</f>
        <v>#REF!</v>
      </c>
      <c r="J598" s="34" t="e">
        <f>J597+#REF!+J582+#REF!+J571+#REF!+#REF!+#REF!+J522+J500+J485</f>
        <v>#REF!</v>
      </c>
      <c r="K598" s="34" t="e">
        <f>K597+#REF!+K582+#REF!+K571+#REF!+#REF!+#REF!+K522+K500+K485</f>
        <v>#REF!</v>
      </c>
      <c r="L598" s="34" t="e">
        <f>L597+#REF!+L582+L571+#REF!+#REF!+#REF!+L522+L500+L485</f>
        <v>#REF!</v>
      </c>
      <c r="M598" s="34" t="e">
        <f>M597+#REF!+M582+M571+#REF!+#REF!+#REF!+M522+M500+M485</f>
        <v>#REF!</v>
      </c>
      <c r="N598" s="34" t="e">
        <f>N597+#REF!+N582+N571+#REF!+#REF!+#REF!+N522+N500+N485</f>
        <v>#REF!</v>
      </c>
      <c r="O598" s="34" t="e">
        <f>O597+#REF!+O582+O571+#REF!+#REF!+#REF!+O522+O500+O485</f>
        <v>#REF!</v>
      </c>
      <c r="P598" s="34">
        <f t="shared" ref="P598:W598" si="140">P597+P582+P576+P571+P533+P531+P527+P522+P500+P485</f>
        <v>29581000</v>
      </c>
      <c r="Q598" s="34">
        <f t="shared" si="140"/>
        <v>26887722.439999998</v>
      </c>
      <c r="R598" s="34">
        <f t="shared" si="140"/>
        <v>36498000</v>
      </c>
      <c r="S598" s="34">
        <f t="shared" si="140"/>
        <v>34758941.318666667</v>
      </c>
      <c r="T598" s="34">
        <f t="shared" ref="T598" si="141">T597+T582+T576+T571+T533+T531+T527+T522+T500+T485</f>
        <v>36974000</v>
      </c>
      <c r="U598" s="34">
        <f t="shared" si="140"/>
        <v>37780500</v>
      </c>
      <c r="V598" s="123">
        <f t="shared" si="140"/>
        <v>154.22999999999999</v>
      </c>
      <c r="W598" s="123">
        <f t="shared" si="140"/>
        <v>174.94299999999998</v>
      </c>
    </row>
    <row r="599" spans="2:23" ht="15">
      <c r="B599" s="86"/>
      <c r="C599" s="87" t="s">
        <v>236</v>
      </c>
      <c r="D599" s="87"/>
      <c r="E599" s="87"/>
      <c r="F599" s="87"/>
      <c r="G599" s="87"/>
      <c r="H599" s="87"/>
      <c r="I599" s="88"/>
      <c r="J599" s="95"/>
      <c r="K599" s="124"/>
      <c r="L599" s="124"/>
      <c r="M599" s="124"/>
      <c r="N599" s="124"/>
      <c r="O599" s="95">
        <v>0</v>
      </c>
      <c r="P599" s="95"/>
      <c r="Q599" s="95"/>
      <c r="R599" s="95"/>
      <c r="S599" s="95"/>
      <c r="T599" s="124"/>
      <c r="U599" s="124"/>
      <c r="V599" s="89"/>
      <c r="W599" s="89"/>
    </row>
    <row r="600" spans="2:23" ht="15">
      <c r="B600" s="18">
        <v>1821000110</v>
      </c>
      <c r="C600" s="117" t="s">
        <v>556</v>
      </c>
      <c r="D600" s="117">
        <v>821000</v>
      </c>
      <c r="E600" s="19" t="s">
        <v>353</v>
      </c>
      <c r="F600" s="119">
        <v>0</v>
      </c>
      <c r="G600" s="119">
        <v>0</v>
      </c>
      <c r="H600" s="119">
        <v>0</v>
      </c>
      <c r="I600" s="119"/>
      <c r="J600" s="119"/>
      <c r="K600" s="119"/>
      <c r="L600" s="119"/>
      <c r="M600" s="119"/>
      <c r="N600" s="119"/>
      <c r="O600" s="119"/>
      <c r="P600" s="119">
        <f>VLOOKUP(B:B,'[3]תשלומים 2017'!B:R,15,0)</f>
        <v>907000</v>
      </c>
      <c r="Q600" s="119">
        <f>VLOOKUP(B:B,'[3]דוח כספי 10.17 מעודכן'!A:D,4,0)</f>
        <v>747560.88</v>
      </c>
      <c r="R600" s="119">
        <f>VLOOKUP(B:B,'[3]תשלומים 2017'!B:T,17,0)</f>
        <v>970000</v>
      </c>
      <c r="S600" s="119">
        <f>Q600/9*12</f>
        <v>996747.84000000008</v>
      </c>
      <c r="T600" s="95">
        <f>VLOOKUP('פירוט תקציב 2017 ו 2018'!B600,'תשלומים 2017'!$A$2:$Q$391,17,0)</f>
        <v>970000</v>
      </c>
      <c r="U600" s="119">
        <v>1006000</v>
      </c>
      <c r="V600" s="134">
        <v>8.57</v>
      </c>
      <c r="W600" s="134">
        <f>8.57+0.2</f>
        <v>8.77</v>
      </c>
    </row>
    <row r="601" spans="2:23" ht="15">
      <c r="B601" s="92">
        <v>1822000510</v>
      </c>
      <c r="C601" s="109" t="str">
        <f>MID(B601,8,3)</f>
        <v>510</v>
      </c>
      <c r="D601" s="109" t="str">
        <f>MID(B601,2,6)</f>
        <v>822000</v>
      </c>
      <c r="E601" s="93" t="s">
        <v>557</v>
      </c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>
        <f>VLOOKUP(B:B,'[3]תשלומים 2017'!B:R,15,0)</f>
        <v>182000</v>
      </c>
      <c r="Q601" s="95">
        <f>VLOOKUP(B:B,'[3]דוח כספי 10.17 מעודכן'!A:D,4,0)</f>
        <v>70246.720000000001</v>
      </c>
      <c r="R601" s="95">
        <f>VLOOKUP(B:B,'[3]תשלומים 2017'!B:T,17,0)</f>
        <v>85000</v>
      </c>
      <c r="S601" s="95">
        <f>Q601/10*12</f>
        <v>84296.064000000013</v>
      </c>
      <c r="T601" s="95">
        <f>VLOOKUP('פירוט תקציב 2017 ו 2018'!B601,'תשלומים 2017'!$A$2:$Q$391,17,0)</f>
        <v>85000</v>
      </c>
      <c r="U601" s="95">
        <v>85000</v>
      </c>
      <c r="V601" s="110"/>
      <c r="W601" s="110"/>
    </row>
    <row r="602" spans="2:23" ht="15">
      <c r="B602" s="92">
        <v>1822000650</v>
      </c>
      <c r="C602" s="109" t="str">
        <f t="shared" ref="C602:C638" si="142">MID(B602,8,3)</f>
        <v>650</v>
      </c>
      <c r="D602" s="109" t="str">
        <f t="shared" ref="D602:D623" si="143">MID(B602,2,6)</f>
        <v>822000</v>
      </c>
      <c r="E602" s="93" t="s">
        <v>558</v>
      </c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>
        <f>VLOOKUP(B:B,'[3]תשלומים 2017'!B:R,15,0)</f>
        <v>0</v>
      </c>
      <c r="Q602" s="95">
        <f>VLOOKUP(B:B,'[3]דוח כספי 10.17 מעודכן'!A:D,4,0)</f>
        <v>486208.53</v>
      </c>
      <c r="R602" s="95">
        <f>VLOOKUP(B:B,'[3]תשלומים 2017'!B:T,17,0)</f>
        <v>486000</v>
      </c>
      <c r="S602" s="95">
        <f>Q602/10*12</f>
        <v>583450.23600000003</v>
      </c>
      <c r="T602" s="95">
        <f>VLOOKUP('פירוט תקציב 2017 ו 2018'!B602,'תשלומים 2017'!$A$2:$Q$391,17,0)</f>
        <v>486000</v>
      </c>
      <c r="U602" s="95">
        <v>584000</v>
      </c>
      <c r="V602" s="110"/>
      <c r="W602" s="110"/>
    </row>
    <row r="603" spans="2:23" ht="15">
      <c r="B603" s="92">
        <v>1822000750</v>
      </c>
      <c r="C603" s="109" t="str">
        <f t="shared" si="142"/>
        <v>750</v>
      </c>
      <c r="D603" s="109" t="str">
        <f t="shared" si="143"/>
        <v>822000</v>
      </c>
      <c r="E603" s="93" t="s">
        <v>560</v>
      </c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>
        <f>VLOOKUP(B:B,'[3]תשלומים 2017'!B:R,15,0)</f>
        <v>0</v>
      </c>
      <c r="Q603" s="95">
        <f>VLOOKUP(B:B,'[3]דוח כספי 10.17 מעודכן'!A:D,4,0)</f>
        <v>0</v>
      </c>
      <c r="R603" s="95">
        <f>VLOOKUP(B:B,'[3]תשלומים 2017'!B:T,17,0)</f>
        <v>0</v>
      </c>
      <c r="S603" s="95">
        <f>Q603/10*12</f>
        <v>0</v>
      </c>
      <c r="T603" s="95">
        <f>VLOOKUP('פירוט תקציב 2017 ו 2018'!B603,'תשלומים 2017'!$A$2:$Q$391,17,0)</f>
        <v>0</v>
      </c>
      <c r="U603" s="95">
        <v>0</v>
      </c>
      <c r="V603" s="110"/>
      <c r="W603" s="110"/>
    </row>
    <row r="604" spans="2:23" ht="15">
      <c r="B604" s="92">
        <v>1822000810</v>
      </c>
      <c r="C604" s="109" t="str">
        <f t="shared" si="142"/>
        <v>810</v>
      </c>
      <c r="D604" s="109" t="str">
        <f t="shared" si="143"/>
        <v>822000</v>
      </c>
      <c r="E604" s="93" t="s">
        <v>561</v>
      </c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>
        <f>VLOOKUP(B:B,'[3]תשלומים 2017'!B:R,15,0)</f>
        <v>0</v>
      </c>
      <c r="Q604" s="95">
        <f>VLOOKUP(B:B,'[3]דוח כספי 10.17 מעודכן'!A:D,4,0)</f>
        <v>77508</v>
      </c>
      <c r="R604" s="95">
        <f>VLOOKUP(B:B,'[3]תשלומים 2017'!B:T,17,0)</f>
        <v>93000</v>
      </c>
      <c r="S604" s="95">
        <f>Q604/10*12</f>
        <v>93009.600000000006</v>
      </c>
      <c r="T604" s="95">
        <f>VLOOKUP('פירוט תקציב 2017 ו 2018'!B604,'תשלומים 2017'!$A$2:$Q$391,17,0)</f>
        <v>93000</v>
      </c>
      <c r="U604" s="95">
        <v>93000</v>
      </c>
      <c r="V604" s="110"/>
      <c r="W604" s="110"/>
    </row>
    <row r="605" spans="2:23" ht="15">
      <c r="B605" s="92">
        <v>1822000930</v>
      </c>
      <c r="C605" s="109" t="str">
        <f t="shared" si="142"/>
        <v>930</v>
      </c>
      <c r="D605" s="109" t="str">
        <f t="shared" si="143"/>
        <v>822000</v>
      </c>
      <c r="E605" s="93" t="s">
        <v>390</v>
      </c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>
        <f>VLOOKUP(B:B,'[3]תשלומים 2017'!B:R,15,0)</f>
        <v>0</v>
      </c>
      <c r="Q605" s="95">
        <f>VLOOKUP(B:B,'[3]דוח כספי 10.17 מעודכן'!A:D,4,0)</f>
        <v>0</v>
      </c>
      <c r="R605" s="95">
        <f>VLOOKUP(B:B,'[3]תשלומים 2017'!B:T,17,0)</f>
        <v>0</v>
      </c>
      <c r="S605" s="95">
        <f>Q605/10*12</f>
        <v>0</v>
      </c>
      <c r="T605" s="95">
        <f>VLOOKUP('פירוט תקציב 2017 ו 2018'!B605,'תשלומים 2017'!$A$2:$Q$391,17,0)</f>
        <v>0</v>
      </c>
      <c r="U605" s="95">
        <v>0</v>
      </c>
      <c r="V605" s="110"/>
      <c r="W605" s="110"/>
    </row>
    <row r="606" spans="2:23" ht="15">
      <c r="B606" s="92">
        <v>1823000110</v>
      </c>
      <c r="C606" s="109" t="str">
        <f t="shared" si="142"/>
        <v>110</v>
      </c>
      <c r="D606" s="109" t="str">
        <f t="shared" si="143"/>
        <v>823000</v>
      </c>
      <c r="E606" s="93" t="s">
        <v>353</v>
      </c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>
        <f>VLOOKUP(B:B,'[3]תשלומים 2017'!B:R,15,0)</f>
        <v>0</v>
      </c>
      <c r="Q606" s="95">
        <f>VLOOKUP(B:B,'[3]דוח כספי 10.17 מעודכן'!A:D,4,0)</f>
        <v>0</v>
      </c>
      <c r="R606" s="95">
        <f>VLOOKUP(B:B,'[3]תשלומים 2017'!B:T,17,0)</f>
        <v>0</v>
      </c>
      <c r="S606" s="95">
        <f>Q606/9*12</f>
        <v>0</v>
      </c>
      <c r="T606" s="95">
        <f>VLOOKUP('פירוט תקציב 2017 ו 2018'!B606,'תשלומים 2017'!$A$2:$Q$391,17,0)</f>
        <v>0</v>
      </c>
      <c r="U606" s="95">
        <v>0</v>
      </c>
      <c r="V606" s="96"/>
      <c r="W606" s="96"/>
    </row>
    <row r="607" spans="2:23" ht="15">
      <c r="B607" s="92">
        <v>1823000431</v>
      </c>
      <c r="C607" s="109" t="str">
        <f t="shared" si="142"/>
        <v>431</v>
      </c>
      <c r="D607" s="109" t="str">
        <f t="shared" si="143"/>
        <v>823000</v>
      </c>
      <c r="E607" s="93" t="s">
        <v>562</v>
      </c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>
        <f>VLOOKUP(B:B,'[3]תשלומים 2017'!B:R,15,0)</f>
        <v>13000</v>
      </c>
      <c r="Q607" s="95">
        <f>VLOOKUP(B:B,'[3]דוח כספי 10.17 מעודכן'!A:D,4,0)</f>
        <v>8960.73</v>
      </c>
      <c r="R607" s="95">
        <f>VLOOKUP(B:B,'[3]תשלומים 2017'!B:T,17,0)</f>
        <v>11000</v>
      </c>
      <c r="S607" s="95">
        <f>Q607/10*12</f>
        <v>10752.876</v>
      </c>
      <c r="T607" s="95">
        <f>VLOOKUP('פירוט תקציב 2017 ו 2018'!B607,'תשלומים 2017'!$A$2:$Q$391,17,0)</f>
        <v>11000</v>
      </c>
      <c r="U607" s="95">
        <v>11000</v>
      </c>
      <c r="V607" s="110"/>
      <c r="W607" s="110"/>
    </row>
    <row r="608" spans="2:23" ht="15">
      <c r="B608" s="92">
        <v>1823000560</v>
      </c>
      <c r="C608" s="109" t="str">
        <f t="shared" si="142"/>
        <v>560</v>
      </c>
      <c r="D608" s="109" t="str">
        <f t="shared" si="143"/>
        <v>823000</v>
      </c>
      <c r="E608" s="93" t="s">
        <v>387</v>
      </c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>
        <f>VLOOKUP(B:B,'[3]תשלומים 2017'!B:R,15,0)</f>
        <v>10000</v>
      </c>
      <c r="Q608" s="95">
        <f>VLOOKUP(B:B,'[3]דוח כספי 10.17 מעודכן'!A:D,4,0)</f>
        <v>5160</v>
      </c>
      <c r="R608" s="95">
        <f>VLOOKUP(B:B,'[3]תשלומים 2017'!B:T,17,0)</f>
        <v>6000</v>
      </c>
      <c r="S608" s="95">
        <f>Q608/10*12</f>
        <v>6192</v>
      </c>
      <c r="T608" s="95">
        <f>VLOOKUP('פירוט תקציב 2017 ו 2018'!B608,'תשלומים 2017'!$A$2:$Q$391,17,0)</f>
        <v>6000</v>
      </c>
      <c r="U608" s="95">
        <v>6000</v>
      </c>
      <c r="V608" s="110"/>
      <c r="W608" s="110"/>
    </row>
    <row r="609" spans="2:23" ht="15">
      <c r="B609" s="92">
        <v>1823000750</v>
      </c>
      <c r="C609" s="109" t="str">
        <f t="shared" si="142"/>
        <v>750</v>
      </c>
      <c r="D609" s="109" t="str">
        <f t="shared" si="143"/>
        <v>823000</v>
      </c>
      <c r="E609" s="93" t="s">
        <v>563</v>
      </c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>
        <f>VLOOKUP(B:B,'[3]תשלומים 2017'!B:R,15,0)</f>
        <v>0</v>
      </c>
      <c r="Q609" s="95">
        <f>VLOOKUP(B:B,'[3]דוח כספי 10.17 מעודכן'!A:D,4,0)</f>
        <v>23925.7</v>
      </c>
      <c r="R609" s="95">
        <f>VLOOKUP(B:B,'[3]תשלומים 2017'!B:T,17,0)</f>
        <v>29000</v>
      </c>
      <c r="S609" s="95">
        <f>Q609/10*12</f>
        <v>28710.840000000004</v>
      </c>
      <c r="T609" s="95">
        <f>VLOOKUP('פירוט תקציב 2017 ו 2018'!B609,'תשלומים 2017'!$A$2:$Q$391,17,0)</f>
        <v>29000</v>
      </c>
      <c r="U609" s="95">
        <v>29000</v>
      </c>
      <c r="V609" s="110"/>
      <c r="W609" s="110"/>
    </row>
    <row r="610" spans="2:23" ht="15">
      <c r="B610" s="92">
        <v>1823000930</v>
      </c>
      <c r="C610" s="109" t="str">
        <f t="shared" si="142"/>
        <v>930</v>
      </c>
      <c r="D610" s="109" t="str">
        <f t="shared" si="143"/>
        <v>823000</v>
      </c>
      <c r="E610" s="93" t="s">
        <v>564</v>
      </c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>
        <f>VLOOKUP(B:B,'[3]תשלומים 2017'!B:R,15,0)</f>
        <v>0</v>
      </c>
      <c r="Q610" s="95">
        <f>VLOOKUP(B:B,'[3]דוח כספי 10.17 מעודכן'!A:D,4,0)</f>
        <v>0</v>
      </c>
      <c r="R610" s="95">
        <f>VLOOKUP(B:B,'[3]תשלומים 2017'!B:T,17,0)</f>
        <v>0</v>
      </c>
      <c r="S610" s="95">
        <f>Q610/10*12</f>
        <v>0</v>
      </c>
      <c r="T610" s="95">
        <f>VLOOKUP('פירוט תקציב 2017 ו 2018'!B610,'תשלומים 2017'!$A$2:$Q$391,17,0)</f>
        <v>0</v>
      </c>
      <c r="U610" s="95">
        <v>0</v>
      </c>
      <c r="V610" s="110"/>
      <c r="W610" s="110"/>
    </row>
    <row r="611" spans="2:23" ht="15">
      <c r="B611" s="92">
        <v>1824000780</v>
      </c>
      <c r="C611" s="109" t="str">
        <f t="shared" si="142"/>
        <v>780</v>
      </c>
      <c r="D611" s="109" t="str">
        <f t="shared" si="143"/>
        <v>824000</v>
      </c>
      <c r="E611" s="93" t="s">
        <v>565</v>
      </c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>
        <f>VLOOKUP(B:B,'[3]תשלומים 2017'!B:R,15,0)</f>
        <v>0</v>
      </c>
      <c r="Q611" s="95">
        <f>VLOOKUP(B:B,'[3]דוח כספי 10.17 מעודכן'!A:D,4,0)</f>
        <v>0</v>
      </c>
      <c r="R611" s="95">
        <f>VLOOKUP(B:B,'[3]תשלומים 2017'!B:T,17,0)</f>
        <v>0</v>
      </c>
      <c r="S611" s="95">
        <f>Q611/10*12</f>
        <v>0</v>
      </c>
      <c r="T611" s="95">
        <f>VLOOKUP('פירוט תקציב 2017 ו 2018'!B611,'תשלומים 2017'!$A$2:$Q$391,17,0)</f>
        <v>0</v>
      </c>
      <c r="U611" s="95">
        <v>0</v>
      </c>
      <c r="V611" s="110"/>
      <c r="W611" s="110"/>
    </row>
    <row r="612" spans="2:23" ht="15">
      <c r="B612" s="92">
        <v>1828000110</v>
      </c>
      <c r="C612" s="109" t="str">
        <f t="shared" si="142"/>
        <v>110</v>
      </c>
      <c r="D612" s="109" t="str">
        <f t="shared" si="143"/>
        <v>828000</v>
      </c>
      <c r="E612" s="93" t="s">
        <v>413</v>
      </c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>
        <f>VLOOKUP(B:B,'[3]תשלומים 2017'!B:R,15,0)</f>
        <v>135000</v>
      </c>
      <c r="Q612" s="95">
        <f>VLOOKUP(B:B,'[3]דוח כספי 10.17 מעודכן'!A:D,4,0)</f>
        <v>130966.46</v>
      </c>
      <c r="R612" s="95">
        <v>160000</v>
      </c>
      <c r="S612" s="95">
        <f>Q612/9*12</f>
        <v>174621.94666666666</v>
      </c>
      <c r="T612" s="95">
        <f>VLOOKUP('פירוט תקציב 2017 ו 2018'!B612,'תשלומים 2017'!$A$2:$Q$391,17,0)</f>
        <v>175000</v>
      </c>
      <c r="U612" s="95">
        <v>158000</v>
      </c>
      <c r="V612" s="111">
        <v>2</v>
      </c>
      <c r="W612" s="111">
        <v>2</v>
      </c>
    </row>
    <row r="613" spans="2:23" ht="15">
      <c r="B613" s="92">
        <v>1828100110</v>
      </c>
      <c r="C613" s="109" t="str">
        <f t="shared" si="142"/>
        <v>110</v>
      </c>
      <c r="D613" s="109" t="str">
        <f t="shared" si="143"/>
        <v>828100</v>
      </c>
      <c r="E613" s="93" t="s">
        <v>566</v>
      </c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>
        <f>VLOOKUP(B:B,'[3]תשלומים 2017'!B:R,15,0)</f>
        <v>245000</v>
      </c>
      <c r="Q613" s="95">
        <f>VLOOKUP(B:B,'[3]דוח כספי 10.17 מעודכן'!A:D,4,0)</f>
        <v>187045.84</v>
      </c>
      <c r="R613" s="95">
        <f>VLOOKUP(B:B,'[3]תשלומים 2017'!B:T,17,0)</f>
        <v>260000</v>
      </c>
      <c r="S613" s="95">
        <f>Q613/9*12</f>
        <v>249394.45333333334</v>
      </c>
      <c r="T613" s="95">
        <f>VLOOKUP('פירוט תקציב 2017 ו 2018'!B613,'תשלומים 2017'!$A$2:$Q$391,17,0)</f>
        <v>260000</v>
      </c>
      <c r="U613" s="95">
        <v>365000</v>
      </c>
      <c r="V613" s="111">
        <v>0</v>
      </c>
      <c r="W613" s="111">
        <v>3.65</v>
      </c>
    </row>
    <row r="614" spans="2:23" ht="15">
      <c r="B614" s="92">
        <v>1828100750</v>
      </c>
      <c r="C614" s="109" t="str">
        <f t="shared" si="142"/>
        <v>750</v>
      </c>
      <c r="D614" s="109" t="str">
        <f t="shared" si="143"/>
        <v>828100</v>
      </c>
      <c r="E614" s="93" t="s">
        <v>567</v>
      </c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>
        <f>VLOOKUP(B:B,'[3]תשלומים 2017'!B:R,15,0)</f>
        <v>0</v>
      </c>
      <c r="Q614" s="95">
        <f>VLOOKUP(B:B,'[3]דוח כספי 10.17 מעודכן'!A:D,4,0)</f>
        <v>42925</v>
      </c>
      <c r="R614" s="95">
        <f>VLOOKUP(B:B,'[3]תשלומים 2017'!B:T,17,0)</f>
        <v>60000</v>
      </c>
      <c r="S614" s="95">
        <f>Q614/10*12</f>
        <v>51510</v>
      </c>
      <c r="T614" s="95">
        <f>VLOOKUP('פירוט תקציב 2017 ו 2018'!B614,'תשלומים 2017'!$A$2:$Q$391,17,0)</f>
        <v>60000</v>
      </c>
      <c r="U614" s="95">
        <v>52000</v>
      </c>
      <c r="V614" s="110"/>
      <c r="W614" s="110"/>
    </row>
    <row r="615" spans="2:23" ht="15">
      <c r="B615" s="92">
        <v>1828200110</v>
      </c>
      <c r="C615" s="109" t="str">
        <f t="shared" si="142"/>
        <v>110</v>
      </c>
      <c r="D615" s="109" t="str">
        <f t="shared" si="143"/>
        <v>828200</v>
      </c>
      <c r="E615" s="93" t="s">
        <v>568</v>
      </c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>
        <f>VLOOKUP(B:B,'[3]תשלומים 2017'!B:R,15,0)</f>
        <v>344000</v>
      </c>
      <c r="Q615" s="95">
        <f>VLOOKUP(B:B,'[3]דוח כספי 10.17 מעודכן'!A:D,4,0)</f>
        <v>253588.81</v>
      </c>
      <c r="R615" s="95">
        <f>VLOOKUP(B:B,'[3]תשלומים 2017'!B:T,17,0)</f>
        <v>315000</v>
      </c>
      <c r="S615" s="95">
        <f>Q615/9*12</f>
        <v>338118.41333333333</v>
      </c>
      <c r="T615" s="95">
        <f>VLOOKUP('פירוט תקציב 2017 ו 2018'!B615,'תשלומים 2017'!$A$2:$Q$391,17,0)</f>
        <v>315000</v>
      </c>
      <c r="U615" s="95">
        <v>353000</v>
      </c>
      <c r="V615" s="96">
        <v>2.46</v>
      </c>
      <c r="W615" s="96">
        <f>2.46+0.34</f>
        <v>2.8</v>
      </c>
    </row>
    <row r="616" spans="2:23" ht="15">
      <c r="B616" s="92">
        <v>1828200810</v>
      </c>
      <c r="C616" s="109" t="str">
        <f t="shared" si="142"/>
        <v>810</v>
      </c>
      <c r="D616" s="109" t="str">
        <f t="shared" si="143"/>
        <v>828200</v>
      </c>
      <c r="E616" s="93" t="s">
        <v>569</v>
      </c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>
        <f>VLOOKUP(B:B,'[3]תשלומים 2017'!B:R,15,0)</f>
        <v>17000</v>
      </c>
      <c r="Q616" s="95">
        <f>VLOOKUP(B:B,'[3]דוח כספי 10.17 מעודכן'!A:D,4,0)</f>
        <v>8945</v>
      </c>
      <c r="R616" s="95">
        <f>VLOOKUP(B:B,'[3]תשלומים 2017'!B:T,17,0)</f>
        <v>11000</v>
      </c>
      <c r="S616" s="95">
        <f>Q616/10*12</f>
        <v>10734</v>
      </c>
      <c r="T616" s="95">
        <f>VLOOKUP('פירוט תקציב 2017 ו 2018'!B616,'תשלומים 2017'!$A$2:$Q$391,17,0)</f>
        <v>11000</v>
      </c>
      <c r="U616" s="95">
        <v>11000</v>
      </c>
      <c r="V616" s="110"/>
      <c r="W616" s="110"/>
    </row>
    <row r="617" spans="2:23" ht="15">
      <c r="B617" s="92">
        <v>1828210110</v>
      </c>
      <c r="C617" s="109" t="str">
        <f t="shared" si="142"/>
        <v>110</v>
      </c>
      <c r="D617" s="109" t="str">
        <f t="shared" si="143"/>
        <v>828210</v>
      </c>
      <c r="E617" s="93" t="s">
        <v>570</v>
      </c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>
        <f>VLOOKUP(B:B,'[3]תשלומים 2017'!B:R,15,0)</f>
        <v>101000</v>
      </c>
      <c r="Q617" s="95">
        <f>VLOOKUP(B:B,'[3]דוח כספי 10.17 מעודכן'!A:D,4,0)</f>
        <v>74694.78</v>
      </c>
      <c r="R617" s="95">
        <f>VLOOKUP(B:B,'[3]תשלומים 2017'!B:T,17,0)</f>
        <v>100000</v>
      </c>
      <c r="S617" s="95">
        <f>Q617/9*12</f>
        <v>99593.040000000008</v>
      </c>
      <c r="T617" s="95">
        <f>VLOOKUP('פירוט תקציב 2017 ו 2018'!B617,'תשלומים 2017'!$A$2:$Q$391,17,0)</f>
        <v>100000</v>
      </c>
      <c r="U617" s="95">
        <v>100000</v>
      </c>
      <c r="V617" s="96">
        <v>0</v>
      </c>
      <c r="W617" s="96">
        <v>1</v>
      </c>
    </row>
    <row r="618" spans="2:23" ht="15">
      <c r="B618" s="92">
        <v>1828210810</v>
      </c>
      <c r="C618" s="109" t="str">
        <f t="shared" si="142"/>
        <v>810</v>
      </c>
      <c r="D618" s="109" t="str">
        <f t="shared" si="143"/>
        <v>828210</v>
      </c>
      <c r="E618" s="93" t="s">
        <v>571</v>
      </c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>
        <f>VLOOKUP(B:B,'[3]תשלומים 2017'!B:R,15,0)</f>
        <v>105000</v>
      </c>
      <c r="Q618" s="95">
        <f>VLOOKUP(B:B,'[3]דוח כספי 10.17 מעודכן'!A:D,4,0)</f>
        <v>255291</v>
      </c>
      <c r="R618" s="95">
        <f>VLOOKUP(B:B,'[3]תשלומים 2017'!B:T,17,0)</f>
        <v>300000</v>
      </c>
      <c r="S618" s="95">
        <f t="shared" ref="S618:S623" si="144">Q618/10*12</f>
        <v>306349.19999999995</v>
      </c>
      <c r="T618" s="95">
        <f>VLOOKUP('פירוט תקציב 2017 ו 2018'!B618,'תשלומים 2017'!$A$2:$Q$391,17,0)</f>
        <v>300000</v>
      </c>
      <c r="U618" s="95">
        <v>300000</v>
      </c>
      <c r="V618" s="110"/>
      <c r="W618" s="110"/>
    </row>
    <row r="619" spans="2:23" ht="15">
      <c r="B619" s="92">
        <v>1828220650</v>
      </c>
      <c r="C619" s="109" t="str">
        <f t="shared" si="142"/>
        <v>650</v>
      </c>
      <c r="D619" s="109" t="str">
        <f t="shared" si="143"/>
        <v>828220</v>
      </c>
      <c r="E619" s="93" t="s">
        <v>572</v>
      </c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>
        <f>VLOOKUP(B:B,'[3]תשלומים 2017'!B:R,15,0)</f>
        <v>0</v>
      </c>
      <c r="Q619" s="95">
        <f>VLOOKUP(B:B,'[3]דוח כספי 10.17 מעודכן'!A:D,4,0)</f>
        <v>3021.09</v>
      </c>
      <c r="R619" s="95">
        <f>VLOOKUP(B:B,'[3]תשלומים 2017'!B:T,17,0)</f>
        <v>4000</v>
      </c>
      <c r="S619" s="95">
        <f t="shared" si="144"/>
        <v>3625.3080000000004</v>
      </c>
      <c r="T619" s="95">
        <f>VLOOKUP('פירוט תקציב 2017 ו 2018'!B619,'תשלומים 2017'!$A$2:$Q$391,17,0)</f>
        <v>4000</v>
      </c>
      <c r="U619" s="95">
        <v>4000</v>
      </c>
      <c r="V619" s="110"/>
      <c r="W619" s="110"/>
    </row>
    <row r="620" spans="2:23" ht="15">
      <c r="B620" s="100">
        <v>1828220810</v>
      </c>
      <c r="C620" s="101" t="str">
        <f t="shared" si="142"/>
        <v>810</v>
      </c>
      <c r="D620" s="101" t="str">
        <f t="shared" si="143"/>
        <v>828220</v>
      </c>
      <c r="E620" s="102" t="s">
        <v>573</v>
      </c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>
        <f>VLOOKUP(B:B,'[3]תשלומים 2017'!B:R,15,0)</f>
        <v>0</v>
      </c>
      <c r="Q620" s="103">
        <f>VLOOKUP(B:B,'[3]דוח כספי 10.17 מעודכן'!A:D,4,0)</f>
        <v>-100000</v>
      </c>
      <c r="R620" s="103">
        <f>VLOOKUP(B:B,'[3]תשלומים 2017'!B:T,17,0)</f>
        <v>0</v>
      </c>
      <c r="S620" s="103">
        <v>0</v>
      </c>
      <c r="T620" s="95">
        <f>VLOOKUP('פירוט תקציב 2017 ו 2018'!B620,'תשלומים 2017'!$A$2:$Q$391,17,0)</f>
        <v>0</v>
      </c>
      <c r="U620" s="103">
        <v>0</v>
      </c>
      <c r="V620" s="110"/>
      <c r="W620" s="110"/>
    </row>
    <row r="621" spans="2:23" ht="15">
      <c r="B621" s="92">
        <v>1828226110</v>
      </c>
      <c r="C621" s="109" t="str">
        <f t="shared" si="142"/>
        <v>110</v>
      </c>
      <c r="D621" s="109" t="str">
        <f t="shared" si="143"/>
        <v>828226</v>
      </c>
      <c r="E621" s="93" t="s">
        <v>574</v>
      </c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>
        <f>VLOOKUP(B:B,'[3]תשלומים 2017'!B:R,15,0)</f>
        <v>0</v>
      </c>
      <c r="Q621" s="95">
        <f>VLOOKUP(B:B,'[3]דוח כספי 10.17 מעודכן'!A:D,4,0)</f>
        <v>66531.06</v>
      </c>
      <c r="R621" s="95">
        <f>VLOOKUP(B:B,'[3]תשלומים 2017'!B:T,17,0)</f>
        <v>130000</v>
      </c>
      <c r="S621" s="95">
        <f>Q621/9*12</f>
        <v>88708.08</v>
      </c>
      <c r="T621" s="95">
        <f>VLOOKUP('פירוט תקציב 2017 ו 2018'!B621,'תשלומים 2017'!$A$2:$Q$391,17,0)</f>
        <v>130000</v>
      </c>
      <c r="U621" s="95">
        <v>83000</v>
      </c>
      <c r="V621" s="96">
        <v>0.51</v>
      </c>
      <c r="W621" s="96">
        <v>0.83</v>
      </c>
    </row>
    <row r="622" spans="2:23" ht="15">
      <c r="B622" s="92">
        <v>1828310810</v>
      </c>
      <c r="C622" s="109" t="str">
        <f t="shared" si="142"/>
        <v>810</v>
      </c>
      <c r="D622" s="109" t="str">
        <f t="shared" si="143"/>
        <v>828310</v>
      </c>
      <c r="E622" s="93" t="s">
        <v>575</v>
      </c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>
        <f>VLOOKUP(B:B,'[3]תשלומים 2017'!B:R,15,0)</f>
        <v>300000</v>
      </c>
      <c r="Q622" s="95">
        <f>VLOOKUP(B:B,'[3]דוח כספי 10.17 מעודכן'!A:D,4,0)</f>
        <v>357000</v>
      </c>
      <c r="R622" s="95">
        <f>VLOOKUP(B:B,'[3]תשלומים 2017'!B:T,17,0)</f>
        <v>357000</v>
      </c>
      <c r="S622" s="95">
        <f t="shared" si="144"/>
        <v>428400</v>
      </c>
      <c r="T622" s="95">
        <f>VLOOKUP('פירוט תקציב 2017 ו 2018'!B622,'תשלומים 2017'!$A$2:$Q$391,17,0)</f>
        <v>357000</v>
      </c>
      <c r="U622" s="95">
        <v>300000</v>
      </c>
      <c r="V622" s="110"/>
      <c r="W622" s="110"/>
    </row>
    <row r="623" spans="2:23" ht="15">
      <c r="B623" s="92">
        <v>1828410810</v>
      </c>
      <c r="C623" s="109" t="str">
        <f t="shared" si="142"/>
        <v>810</v>
      </c>
      <c r="D623" s="109" t="str">
        <f t="shared" si="143"/>
        <v>828410</v>
      </c>
      <c r="E623" s="93" t="s">
        <v>523</v>
      </c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>
        <f>VLOOKUP(B:B,'[3]תשלומים 2017'!B:R,15,0)</f>
        <v>67000</v>
      </c>
      <c r="Q623" s="95">
        <f>VLOOKUP(B:B,'[3]דוח כספי 10.17 מעודכן'!A:D,4,0)</f>
        <v>34719</v>
      </c>
      <c r="R623" s="95">
        <f>VLOOKUP(B:B,'[3]תשלומים 2017'!B:T,17,0)</f>
        <v>35000</v>
      </c>
      <c r="S623" s="95">
        <f t="shared" si="144"/>
        <v>41662.800000000003</v>
      </c>
      <c r="T623" s="95">
        <f>VLOOKUP('פירוט תקציב 2017 ו 2018'!B623,'תשלומים 2017'!$A$2:$Q$391,17,0)</f>
        <v>35000</v>
      </c>
      <c r="U623" s="95">
        <v>42000</v>
      </c>
      <c r="V623" s="110"/>
      <c r="W623" s="110"/>
    </row>
    <row r="624" spans="2:23" ht="15">
      <c r="B624" s="28"/>
      <c r="C624" s="29"/>
      <c r="D624" s="29"/>
      <c r="E624" s="29" t="s">
        <v>576</v>
      </c>
      <c r="F624" s="30" t="e">
        <f>SUM(#REF!)</f>
        <v>#REF!</v>
      </c>
      <c r="G624" s="30" t="e">
        <f>SUM(#REF!)</f>
        <v>#REF!</v>
      </c>
      <c r="H624" s="30" t="e">
        <f>SUM(#REF!)</f>
        <v>#REF!</v>
      </c>
      <c r="I624" s="30" t="e">
        <f>SUM(#REF!)</f>
        <v>#REF!</v>
      </c>
      <c r="J624" s="30" t="e">
        <f>SUM(#REF!)</f>
        <v>#REF!</v>
      </c>
      <c r="K624" s="30" t="e">
        <f>SUM(#REF!)</f>
        <v>#REF!</v>
      </c>
      <c r="L624" s="30" t="e">
        <f>SUM(#REF!)</f>
        <v>#REF!</v>
      </c>
      <c r="M624" s="30" t="e">
        <f>SUM(#REF!)</f>
        <v>#REF!</v>
      </c>
      <c r="N624" s="30" t="e">
        <f>SUM(#REF!)</f>
        <v>#REF!</v>
      </c>
      <c r="O624" s="30" t="e">
        <f>SUM(#REF!)</f>
        <v>#REF!</v>
      </c>
      <c r="P624" s="30">
        <f t="shared" ref="P624:W624" si="145">SUM(P600:P623)</f>
        <v>2426000</v>
      </c>
      <c r="Q624" s="30">
        <f t="shared" si="145"/>
        <v>2734298.5999999996</v>
      </c>
      <c r="R624" s="30">
        <f t="shared" si="145"/>
        <v>3412000</v>
      </c>
      <c r="S624" s="30">
        <f t="shared" si="145"/>
        <v>3595876.697333334</v>
      </c>
      <c r="T624" s="30">
        <f>SUM(T600:T623)</f>
        <v>3427000</v>
      </c>
      <c r="U624" s="30">
        <f>SUM(U600:U623)</f>
        <v>3582000</v>
      </c>
      <c r="V624" s="112">
        <f t="shared" si="145"/>
        <v>13.540000000000001</v>
      </c>
      <c r="W624" s="112">
        <f t="shared" si="145"/>
        <v>19.049999999999997</v>
      </c>
    </row>
    <row r="625" spans="2:23" ht="15">
      <c r="B625" s="18">
        <v>1829000110</v>
      </c>
      <c r="C625" s="117" t="str">
        <f t="shared" si="142"/>
        <v>110</v>
      </c>
      <c r="D625" s="117" t="str">
        <f t="shared" ref="D625:D638" si="146">MID(B625,2,6)</f>
        <v>829000</v>
      </c>
      <c r="E625" s="19" t="s">
        <v>413</v>
      </c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>
        <f>VLOOKUP(B:B,'[3]תשלומים 2017'!B:R,15,0)</f>
        <v>327000</v>
      </c>
      <c r="Q625" s="119">
        <f>VLOOKUP(B:B,'[3]דוח כספי 10.17 מעודכן'!A:D,4,0)</f>
        <v>186106.87</v>
      </c>
      <c r="R625" s="119">
        <f>VLOOKUP(B:B,'[3]תשלומים 2017'!B:T,17,0)</f>
        <v>260000</v>
      </c>
      <c r="S625" s="119">
        <f>Q625/9*12</f>
        <v>248142.49333333332</v>
      </c>
      <c r="T625" s="95">
        <f>VLOOKUP('פירוט תקציב 2017 ו 2018'!B625,'תשלומים 2017'!$A$2:$Q$391,17,0)</f>
        <v>260000</v>
      </c>
      <c r="U625" s="119">
        <v>308000</v>
      </c>
      <c r="V625" s="134">
        <v>1.5</v>
      </c>
      <c r="W625" s="134">
        <f>1.5+1.17</f>
        <v>2.67</v>
      </c>
    </row>
    <row r="626" spans="2:23" ht="15">
      <c r="B626" s="92">
        <v>1829000540</v>
      </c>
      <c r="C626" s="109" t="str">
        <f t="shared" si="142"/>
        <v>540</v>
      </c>
      <c r="D626" s="109" t="str">
        <f t="shared" si="146"/>
        <v>829000</v>
      </c>
      <c r="E626" s="93" t="s">
        <v>438</v>
      </c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>
        <f>VLOOKUP(B:B,'[3]תשלומים 2017'!B:R,15,0)</f>
        <v>0</v>
      </c>
      <c r="Q626" s="95">
        <f>VLOOKUP(B:B,'[3]דוח כספי 10.17 מעודכן'!A:D,4,0)</f>
        <v>0</v>
      </c>
      <c r="R626" s="95">
        <f>VLOOKUP(B:B,'[3]תשלומים 2017'!B:T,17,0)</f>
        <v>0</v>
      </c>
      <c r="S626" s="95">
        <f t="shared" ref="S626:S633" si="147">Q626/10*12</f>
        <v>0</v>
      </c>
      <c r="T626" s="95">
        <f>VLOOKUP('פירוט תקציב 2017 ו 2018'!B626,'תשלומים 2017'!$A$2:$Q$391,17,0)</f>
        <v>0</v>
      </c>
      <c r="U626" s="95">
        <v>0</v>
      </c>
      <c r="V626" s="110"/>
      <c r="W626" s="110"/>
    </row>
    <row r="627" spans="2:23" ht="15">
      <c r="B627" s="100">
        <v>1829100432</v>
      </c>
      <c r="C627" s="101" t="str">
        <f t="shared" si="142"/>
        <v>432</v>
      </c>
      <c r="D627" s="101" t="str">
        <f t="shared" si="146"/>
        <v>829100</v>
      </c>
      <c r="E627" s="102" t="s">
        <v>577</v>
      </c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>
        <f>VLOOKUP(B:B,'[3]תשלומים 2017'!B:R,15,0)</f>
        <v>0</v>
      </c>
      <c r="Q627" s="103">
        <f>VLOOKUP(B:B,'[3]דוח כספי 10.17 מעודכן'!A:D,4,0)</f>
        <v>133290.70000000001</v>
      </c>
      <c r="R627" s="103">
        <f>VLOOKUP(B:B,'[3]תשלומים 2017'!B:T,17,0)</f>
        <v>133500</v>
      </c>
      <c r="S627" s="103">
        <v>133291</v>
      </c>
      <c r="T627" s="95">
        <f>VLOOKUP('פירוט תקציב 2017 ו 2018'!B627,'תשלומים 2017'!$A$2:$Q$391,17,0)</f>
        <v>133500</v>
      </c>
      <c r="U627" s="103">
        <v>133500</v>
      </c>
      <c r="V627" s="110"/>
      <c r="W627" s="110"/>
    </row>
    <row r="628" spans="2:23" ht="15">
      <c r="B628" s="92">
        <v>1829100740</v>
      </c>
      <c r="C628" s="109" t="str">
        <f t="shared" si="142"/>
        <v>740</v>
      </c>
      <c r="D628" s="109" t="str">
        <f t="shared" si="146"/>
        <v>829100</v>
      </c>
      <c r="E628" s="93" t="s">
        <v>578</v>
      </c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>
        <f>VLOOKUP(B:B,'[3]תשלומים 2017'!B:R,15,0)</f>
        <v>0</v>
      </c>
      <c r="Q628" s="95">
        <f>VLOOKUP(B:B,'[3]דוח כספי 10.17 מעודכן'!A:D,4,0)</f>
        <v>0</v>
      </c>
      <c r="R628" s="95">
        <f>VLOOKUP(B:B,'[3]תשלומים 2017'!B:T,17,0)</f>
        <v>0</v>
      </c>
      <c r="S628" s="95">
        <f t="shared" si="147"/>
        <v>0</v>
      </c>
      <c r="T628" s="95">
        <f>VLOOKUP('פירוט תקציב 2017 ו 2018'!B628,'תשלומים 2017'!$A$2:$Q$391,17,0)</f>
        <v>0</v>
      </c>
      <c r="U628" s="95">
        <v>0</v>
      </c>
      <c r="V628" s="110"/>
      <c r="W628" s="110"/>
    </row>
    <row r="629" spans="2:23" ht="15">
      <c r="B629" s="92">
        <v>1829100750</v>
      </c>
      <c r="C629" s="109" t="str">
        <f t="shared" si="142"/>
        <v>750</v>
      </c>
      <c r="D629" s="109" t="str">
        <f t="shared" si="146"/>
        <v>829100</v>
      </c>
      <c r="E629" s="93" t="s">
        <v>579</v>
      </c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>
        <f>VLOOKUP(B:B,'[3]תשלומים 2017'!B:R,15,0)</f>
        <v>142000</v>
      </c>
      <c r="Q629" s="95">
        <f>VLOOKUP(B:B,'[3]דוח כספי 10.17 מעודכן'!A:D,4,0)</f>
        <v>87893</v>
      </c>
      <c r="R629" s="95">
        <f>VLOOKUP(B:B,'[3]תשלומים 2017'!B:T,17,0)</f>
        <v>133000</v>
      </c>
      <c r="S629" s="95">
        <f t="shared" si="147"/>
        <v>105471.59999999999</v>
      </c>
      <c r="T629" s="95">
        <f>VLOOKUP('פירוט תקציב 2017 ו 2018'!B629,'תשלומים 2017'!$A$2:$Q$391,17,0)</f>
        <v>133000</v>
      </c>
      <c r="U629" s="95">
        <v>133000</v>
      </c>
      <c r="V629" s="110"/>
      <c r="W629" s="110"/>
    </row>
    <row r="630" spans="2:23" ht="15">
      <c r="B630" s="92">
        <v>1829100780</v>
      </c>
      <c r="C630" s="109" t="str">
        <f t="shared" si="142"/>
        <v>780</v>
      </c>
      <c r="D630" s="109" t="str">
        <f t="shared" si="146"/>
        <v>829100</v>
      </c>
      <c r="E630" s="93" t="s">
        <v>580</v>
      </c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>
        <f>VLOOKUP(B:B,'[3]תשלומים 2017'!B:R,15,0)</f>
        <v>0</v>
      </c>
      <c r="Q630" s="95">
        <f>VLOOKUP(B:B,'[3]דוח כספי 10.17 מעודכן'!A:D,4,0)</f>
        <v>0</v>
      </c>
      <c r="R630" s="95">
        <f>VLOOKUP(B:B,'[3]תשלומים 2017'!B:T,17,0)</f>
        <v>0</v>
      </c>
      <c r="S630" s="95">
        <f t="shared" si="147"/>
        <v>0</v>
      </c>
      <c r="T630" s="95">
        <f>VLOOKUP('פירוט תקציב 2017 ו 2018'!B630,'תשלומים 2017'!$A$2:$Q$391,17,0)</f>
        <v>0</v>
      </c>
      <c r="U630" s="95">
        <v>0</v>
      </c>
      <c r="V630" s="110"/>
      <c r="W630" s="110"/>
    </row>
    <row r="631" spans="2:23" ht="15">
      <c r="B631" s="92">
        <v>1829100810</v>
      </c>
      <c r="C631" s="109" t="str">
        <f t="shared" si="142"/>
        <v>810</v>
      </c>
      <c r="D631" s="109" t="str">
        <f t="shared" si="146"/>
        <v>829100</v>
      </c>
      <c r="E631" s="93" t="s">
        <v>581</v>
      </c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>
        <f>VLOOKUP(B:B,'[3]תשלומים 2017'!B:R,15,0)</f>
        <v>300000</v>
      </c>
      <c r="Q631" s="95">
        <f>VLOOKUP(B:B,'[3]דוח כספי 10.17 מעודכן'!A:D,4,0)</f>
        <v>225000</v>
      </c>
      <c r="R631" s="95">
        <f>VLOOKUP(B:B,'[3]תשלומים 2017'!B:T,17,0)</f>
        <v>300000</v>
      </c>
      <c r="S631" s="95">
        <f t="shared" si="147"/>
        <v>270000</v>
      </c>
      <c r="T631" s="95">
        <f>VLOOKUP('פירוט תקציב 2017 ו 2018'!B631,'תשלומים 2017'!$A$2:$Q$391,17,0)</f>
        <v>300000</v>
      </c>
      <c r="U631" s="95">
        <v>300000</v>
      </c>
      <c r="V631" s="110"/>
      <c r="W631" s="110"/>
    </row>
    <row r="632" spans="2:23" ht="15">
      <c r="B632" s="92">
        <v>1829100910</v>
      </c>
      <c r="C632" s="109" t="str">
        <f t="shared" si="142"/>
        <v>910</v>
      </c>
      <c r="D632" s="109" t="str">
        <f t="shared" si="146"/>
        <v>829100</v>
      </c>
      <c r="E632" s="93" t="s">
        <v>582</v>
      </c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>
        <f>VLOOKUP(B:B,'[3]תשלומים 2017'!B:R,15,0)</f>
        <v>0</v>
      </c>
      <c r="Q632" s="95">
        <f>VLOOKUP(B:B,'[3]דוח כספי 10.17 מעודכן'!A:D,4,0)</f>
        <v>0</v>
      </c>
      <c r="R632" s="95">
        <f>VLOOKUP(B:B,'[3]תשלומים 2017'!B:T,17,0)</f>
        <v>0</v>
      </c>
      <c r="S632" s="95">
        <f t="shared" si="147"/>
        <v>0</v>
      </c>
      <c r="T632" s="95">
        <f>VLOOKUP('פירוט תקציב 2017 ו 2018'!B632,'תשלומים 2017'!$A$2:$Q$391,17,0)</f>
        <v>0</v>
      </c>
      <c r="U632" s="95">
        <v>0</v>
      </c>
      <c r="V632" s="110"/>
      <c r="W632" s="110"/>
    </row>
    <row r="633" spans="2:23" ht="15">
      <c r="B633" s="92">
        <v>1829100930</v>
      </c>
      <c r="C633" s="109" t="str">
        <f t="shared" si="142"/>
        <v>930</v>
      </c>
      <c r="D633" s="109" t="str">
        <f t="shared" si="146"/>
        <v>829100</v>
      </c>
      <c r="E633" s="93" t="s">
        <v>583</v>
      </c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>
        <f>VLOOKUP(B:B,'[3]תשלומים 2017'!B:R,15,0)</f>
        <v>40000</v>
      </c>
      <c r="Q633" s="95">
        <f>VLOOKUP(B:B,'[3]דוח כספי 10.17 מעודכן'!A:D,4,0)</f>
        <v>8661</v>
      </c>
      <c r="R633" s="95">
        <f>VLOOKUP(B:B,'[3]תשלומים 2017'!B:T,17,0)</f>
        <v>10000</v>
      </c>
      <c r="S633" s="95">
        <f t="shared" si="147"/>
        <v>10393.200000000001</v>
      </c>
      <c r="T633" s="95">
        <f>VLOOKUP('פירוט תקציב 2017 ו 2018'!B633,'תשלומים 2017'!$A$2:$Q$391,17,0)</f>
        <v>10000</v>
      </c>
      <c r="U633" s="95">
        <v>10000</v>
      </c>
      <c r="V633" s="110"/>
      <c r="W633" s="110"/>
    </row>
    <row r="634" spans="2:23" ht="15">
      <c r="B634" s="92">
        <v>1829200110</v>
      </c>
      <c r="C634" s="109" t="str">
        <f t="shared" si="142"/>
        <v>110</v>
      </c>
      <c r="D634" s="109" t="str">
        <f t="shared" si="146"/>
        <v>829200</v>
      </c>
      <c r="E634" s="93" t="s">
        <v>584</v>
      </c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>
        <f>VLOOKUP(B:B,'[3]תשלומים 2017'!B:R,15,0)</f>
        <v>0</v>
      </c>
      <c r="Q634" s="95">
        <f>VLOOKUP(B:B,'[3]דוח כספי 10.17 מעודכן'!A:D,4,0)</f>
        <v>0</v>
      </c>
      <c r="R634" s="95">
        <f>VLOOKUP(B:B,'[3]תשלומים 2017'!B:T,17,0)</f>
        <v>0</v>
      </c>
      <c r="S634" s="95">
        <f>Q634/9*12</f>
        <v>0</v>
      </c>
      <c r="T634" s="95">
        <f>VLOOKUP('פירוט תקציב 2017 ו 2018'!B634,'תשלומים 2017'!$A$2:$Q$391,17,0)</f>
        <v>0</v>
      </c>
      <c r="U634" s="95">
        <v>0</v>
      </c>
      <c r="V634" s="96"/>
      <c r="W634" s="96"/>
    </row>
    <row r="635" spans="2:23" ht="15">
      <c r="B635" s="92">
        <v>1829200431</v>
      </c>
      <c r="C635" s="109" t="str">
        <f t="shared" si="142"/>
        <v>431</v>
      </c>
      <c r="D635" s="109" t="str">
        <f t="shared" si="146"/>
        <v>829200</v>
      </c>
      <c r="E635" s="93" t="s">
        <v>585</v>
      </c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>
        <f>VLOOKUP(B:B,'[3]תשלומים 2017'!B:R,15,0)</f>
        <v>6000</v>
      </c>
      <c r="Q635" s="95">
        <f>VLOOKUP(B:B,'[3]דוח כספי 10.17 מעודכן'!A:D,4,0)</f>
        <v>0</v>
      </c>
      <c r="R635" s="95">
        <f>VLOOKUP(B:B,'[3]תשלומים 2017'!B:T,17,0)</f>
        <v>0</v>
      </c>
      <c r="S635" s="95">
        <f>Q635/10*12</f>
        <v>0</v>
      </c>
      <c r="T635" s="95">
        <f>VLOOKUP('פירוט תקציב 2017 ו 2018'!B635,'תשלומים 2017'!$A$2:$Q$391,17,0)</f>
        <v>0</v>
      </c>
      <c r="U635" s="95">
        <v>0</v>
      </c>
      <c r="V635" s="110"/>
      <c r="W635" s="110"/>
    </row>
    <row r="636" spans="2:23" ht="15">
      <c r="B636" s="92">
        <v>1829200521</v>
      </c>
      <c r="C636" s="109" t="str">
        <f t="shared" si="142"/>
        <v>521</v>
      </c>
      <c r="D636" s="109" t="str">
        <f t="shared" si="146"/>
        <v>829200</v>
      </c>
      <c r="E636" s="93" t="s">
        <v>586</v>
      </c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>
        <f>VLOOKUP(B:B,'[3]תשלומים 2017'!B:R,15,0)</f>
        <v>2000</v>
      </c>
      <c r="Q636" s="95">
        <f>VLOOKUP(B:B,'[3]דוח כספי 10.17 מעודכן'!A:D,4,0)</f>
        <v>0</v>
      </c>
      <c r="R636" s="95">
        <f>VLOOKUP(B:B,'[3]תשלומים 2017'!B:T,17,0)</f>
        <v>0</v>
      </c>
      <c r="S636" s="95">
        <f>Q636/10*12</f>
        <v>0</v>
      </c>
      <c r="T636" s="95">
        <f>VLOOKUP('פירוט תקציב 2017 ו 2018'!B636,'תשלומים 2017'!$A$2:$Q$391,17,0)</f>
        <v>0</v>
      </c>
      <c r="U636" s="95">
        <v>0</v>
      </c>
      <c r="V636" s="110"/>
      <c r="W636" s="110"/>
    </row>
    <row r="637" spans="2:23" ht="15">
      <c r="B637" s="92">
        <v>1829300740</v>
      </c>
      <c r="C637" s="109" t="str">
        <f t="shared" si="142"/>
        <v>740</v>
      </c>
      <c r="D637" s="109" t="str">
        <f t="shared" si="146"/>
        <v>829300</v>
      </c>
      <c r="E637" s="93" t="s">
        <v>587</v>
      </c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>
        <f>VLOOKUP(B:B,'[3]תשלומים 2017'!B:R,15,0)</f>
        <v>0</v>
      </c>
      <c r="Q637" s="95">
        <f>VLOOKUP(B:B,'[3]דוח כספי 10.17 מעודכן'!A:D,4,0)</f>
        <v>0</v>
      </c>
      <c r="R637" s="95">
        <f>VLOOKUP(B:B,'[3]תשלומים 2017'!B:T,17,0)</f>
        <v>0</v>
      </c>
      <c r="S637" s="95">
        <f>Q637/10*12</f>
        <v>0</v>
      </c>
      <c r="T637" s="95">
        <f>VLOOKUP('פירוט תקציב 2017 ו 2018'!B637,'תשלומים 2017'!$A$2:$Q$391,17,0)</f>
        <v>0</v>
      </c>
      <c r="U637" s="95">
        <v>10000</v>
      </c>
      <c r="V637" s="110"/>
      <c r="W637" s="110"/>
    </row>
    <row r="638" spans="2:23" ht="15">
      <c r="B638" s="100">
        <v>1829300810</v>
      </c>
      <c r="C638" s="101" t="str">
        <f t="shared" si="142"/>
        <v>810</v>
      </c>
      <c r="D638" s="101" t="str">
        <f t="shared" si="146"/>
        <v>829300</v>
      </c>
      <c r="E638" s="102" t="s">
        <v>588</v>
      </c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>
        <f>VLOOKUP(B:B,'[3]תשלומים 2017'!B:R,15,0)</f>
        <v>24000</v>
      </c>
      <c r="Q638" s="103">
        <f>VLOOKUP(B:B,'[3]דוח כספי 10.17 מעודכן'!A:D,4,0)</f>
        <v>0</v>
      </c>
      <c r="R638" s="103">
        <f>VLOOKUP(B:B,'[3]תשלומים 2017'!B:T,17,0)</f>
        <v>0</v>
      </c>
      <c r="S638" s="103">
        <f>Q638/10*12</f>
        <v>0</v>
      </c>
      <c r="T638" s="95">
        <f>VLOOKUP('פירוט תקציב 2017 ו 2018'!B638,'תשלומים 2017'!$A$2:$Q$391,17,0)</f>
        <v>0</v>
      </c>
      <c r="U638" s="103">
        <v>10000</v>
      </c>
      <c r="V638" s="110"/>
      <c r="W638" s="110"/>
    </row>
    <row r="639" spans="2:23" ht="15">
      <c r="B639" s="28"/>
      <c r="C639" s="29"/>
      <c r="D639" s="29"/>
      <c r="E639" s="29" t="s">
        <v>589</v>
      </c>
      <c r="F639" s="30" t="e">
        <f>SUM(#REF!)</f>
        <v>#REF!</v>
      </c>
      <c r="G639" s="30" t="e">
        <f>SUM(#REF!)</f>
        <v>#REF!</v>
      </c>
      <c r="H639" s="30" t="e">
        <f>SUM(#REF!)</f>
        <v>#REF!</v>
      </c>
      <c r="I639" s="30" t="e">
        <f>SUM(#REF!)</f>
        <v>#REF!</v>
      </c>
      <c r="J639" s="30" t="e">
        <f>SUM(#REF!)</f>
        <v>#REF!</v>
      </c>
      <c r="K639" s="30" t="e">
        <f>SUM(#REF!)</f>
        <v>#REF!</v>
      </c>
      <c r="L639" s="30" t="e">
        <f>SUM(#REF!)</f>
        <v>#REF!</v>
      </c>
      <c r="M639" s="30" t="e">
        <f>SUM(#REF!)</f>
        <v>#REF!</v>
      </c>
      <c r="N639" s="30" t="e">
        <f>SUM(#REF!)</f>
        <v>#REF!</v>
      </c>
      <c r="O639" s="30" t="e">
        <f>SUM(#REF!)</f>
        <v>#REF!</v>
      </c>
      <c r="P639" s="30">
        <f t="shared" ref="P639:W639" si="148">SUM(P625:P638)</f>
        <v>841000</v>
      </c>
      <c r="Q639" s="30">
        <f t="shared" si="148"/>
        <v>640951.57000000007</v>
      </c>
      <c r="R639" s="30">
        <f t="shared" si="148"/>
        <v>836500</v>
      </c>
      <c r="S639" s="30">
        <f t="shared" si="148"/>
        <v>767298.29333333322</v>
      </c>
      <c r="T639" s="30">
        <f t="shared" ref="T639" si="149">SUM(T625:T638)</f>
        <v>836500</v>
      </c>
      <c r="U639" s="30">
        <f t="shared" si="148"/>
        <v>904500</v>
      </c>
      <c r="V639" s="112">
        <f t="shared" si="148"/>
        <v>1.5</v>
      </c>
      <c r="W639" s="112">
        <f t="shared" si="148"/>
        <v>2.67</v>
      </c>
    </row>
    <row r="640" spans="2:23" ht="15">
      <c r="B640" s="32"/>
      <c r="C640" s="33"/>
      <c r="D640" s="33"/>
      <c r="E640" s="33" t="s">
        <v>249</v>
      </c>
      <c r="F640" s="34" t="e">
        <f t="shared" ref="F640:W640" si="150">F639+F624</f>
        <v>#REF!</v>
      </c>
      <c r="G640" s="34" t="e">
        <f t="shared" si="150"/>
        <v>#REF!</v>
      </c>
      <c r="H640" s="34" t="e">
        <f t="shared" si="150"/>
        <v>#REF!</v>
      </c>
      <c r="I640" s="34" t="e">
        <f t="shared" si="150"/>
        <v>#REF!</v>
      </c>
      <c r="J640" s="34" t="e">
        <f t="shared" si="150"/>
        <v>#REF!</v>
      </c>
      <c r="K640" s="34" t="e">
        <f t="shared" si="150"/>
        <v>#REF!</v>
      </c>
      <c r="L640" s="34" t="e">
        <f t="shared" si="150"/>
        <v>#REF!</v>
      </c>
      <c r="M640" s="34" t="e">
        <f t="shared" si="150"/>
        <v>#REF!</v>
      </c>
      <c r="N640" s="34" t="e">
        <f t="shared" si="150"/>
        <v>#REF!</v>
      </c>
      <c r="O640" s="34" t="e">
        <f t="shared" si="150"/>
        <v>#REF!</v>
      </c>
      <c r="P640" s="34">
        <f t="shared" si="150"/>
        <v>3267000</v>
      </c>
      <c r="Q640" s="34">
        <f t="shared" si="150"/>
        <v>3375250.17</v>
      </c>
      <c r="R640" s="34">
        <f t="shared" si="150"/>
        <v>4248500</v>
      </c>
      <c r="S640" s="34">
        <f t="shared" si="150"/>
        <v>4363174.990666667</v>
      </c>
      <c r="T640" s="34">
        <f t="shared" ref="T640" si="151">T639+T624</f>
        <v>4263500</v>
      </c>
      <c r="U640" s="34">
        <f t="shared" si="150"/>
        <v>4486500</v>
      </c>
      <c r="V640" s="123">
        <f t="shared" si="150"/>
        <v>15.040000000000001</v>
      </c>
      <c r="W640" s="123">
        <f t="shared" si="150"/>
        <v>21.72</v>
      </c>
    </row>
    <row r="641" spans="2:23" ht="15">
      <c r="B641" s="86"/>
      <c r="C641" s="87" t="s">
        <v>250</v>
      </c>
      <c r="D641" s="87"/>
      <c r="E641" s="87"/>
      <c r="F641" s="87"/>
      <c r="G641" s="87"/>
      <c r="H641" s="87"/>
      <c r="I641" s="88"/>
      <c r="J641" s="95"/>
      <c r="K641" s="124"/>
      <c r="L641" s="124"/>
      <c r="M641" s="124"/>
      <c r="N641" s="124"/>
      <c r="O641" s="95">
        <v>0</v>
      </c>
      <c r="P641" s="95"/>
      <c r="Q641" s="95"/>
      <c r="R641" s="95"/>
      <c r="S641" s="95"/>
      <c r="T641" s="124"/>
      <c r="U641" s="124"/>
      <c r="V641" s="89"/>
      <c r="W641" s="89"/>
    </row>
    <row r="642" spans="2:23" ht="15">
      <c r="B642" s="92">
        <v>1832400110</v>
      </c>
      <c r="C642" s="109" t="str">
        <f t="shared" ref="C642:C650" si="152">MID(B642,8,3)</f>
        <v>110</v>
      </c>
      <c r="D642" s="109" t="str">
        <f t="shared" ref="D642:D650" si="153">MID(B642,2,6)</f>
        <v>832400</v>
      </c>
      <c r="E642" s="93" t="s">
        <v>590</v>
      </c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>
        <f>VLOOKUP(B:B,'[3]תשלומים 2017'!B:R,15,0)</f>
        <v>66000</v>
      </c>
      <c r="Q642" s="95">
        <f>VLOOKUP(B:B,'[3]דוח כספי 10.17 מעודכן'!A:D,4,0)</f>
        <v>51505.04</v>
      </c>
      <c r="R642" s="95">
        <f>VLOOKUP(B:B,'[3]תשלומים 2017'!B:T,17,0)</f>
        <v>69000</v>
      </c>
      <c r="S642" s="95">
        <f>Q642/9*12</f>
        <v>68673.386666666658</v>
      </c>
      <c r="T642" s="95">
        <f>VLOOKUP('פירוט תקציב 2017 ו 2018'!B642,'תשלומים 2017'!$A$2:$Q$391,17,0)</f>
        <v>69000</v>
      </c>
      <c r="U642" s="95">
        <v>71000</v>
      </c>
      <c r="V642" s="96">
        <v>0.6</v>
      </c>
      <c r="W642" s="96">
        <v>0.6</v>
      </c>
    </row>
    <row r="643" spans="2:23" ht="15">
      <c r="B643" s="92">
        <v>1832400420</v>
      </c>
      <c r="C643" s="109" t="str">
        <f t="shared" si="152"/>
        <v>420</v>
      </c>
      <c r="D643" s="109" t="str">
        <f t="shared" si="153"/>
        <v>832400</v>
      </c>
      <c r="E643" s="93" t="s">
        <v>591</v>
      </c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>
        <f>VLOOKUP(B:B,'[3]תשלומים 2017'!B:R,15,0)</f>
        <v>0</v>
      </c>
      <c r="Q643" s="95">
        <f>VLOOKUP(B:B,'[3]דוח כספי 10.17 מעודכן'!A:D,4,0)</f>
        <v>0</v>
      </c>
      <c r="R643" s="95">
        <f>VLOOKUP(B:B,'[3]תשלומים 2017'!B:T,17,0)</f>
        <v>0</v>
      </c>
      <c r="S643" s="95">
        <f t="shared" ref="S643:S650" si="154">Q643/10*12</f>
        <v>0</v>
      </c>
      <c r="T643" s="95">
        <f>VLOOKUP('פירוט תקציב 2017 ו 2018'!B643,'תשלומים 2017'!$A$2:$Q$391,17,0)</f>
        <v>0</v>
      </c>
      <c r="U643" s="95">
        <v>0</v>
      </c>
      <c r="V643" s="110"/>
      <c r="W643" s="110"/>
    </row>
    <row r="644" spans="2:23" ht="15">
      <c r="B644" s="92">
        <v>1832400431</v>
      </c>
      <c r="C644" s="109" t="str">
        <f t="shared" si="152"/>
        <v>431</v>
      </c>
      <c r="D644" s="109" t="str">
        <f t="shared" si="153"/>
        <v>832400</v>
      </c>
      <c r="E644" s="93" t="s">
        <v>592</v>
      </c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>
        <f>VLOOKUP(B:B,'[3]תשלומים 2017'!B:R,15,0)</f>
        <v>13000</v>
      </c>
      <c r="Q644" s="95">
        <f>VLOOKUP(B:B,'[3]דוח כספי 10.17 מעודכן'!A:D,4,0)</f>
        <v>5487.61</v>
      </c>
      <c r="R644" s="95">
        <f>VLOOKUP(B:B,'[3]תשלומים 2017'!B:T,17,0)</f>
        <v>7000</v>
      </c>
      <c r="S644" s="95">
        <f t="shared" si="154"/>
        <v>6585.1319999999996</v>
      </c>
      <c r="T644" s="95">
        <f>VLOOKUP('פירוט תקציב 2017 ו 2018'!B644,'תשלומים 2017'!$A$2:$Q$391,17,0)</f>
        <v>7000</v>
      </c>
      <c r="U644" s="95">
        <v>7000</v>
      </c>
      <c r="V644" s="110"/>
      <c r="W644" s="110"/>
    </row>
    <row r="645" spans="2:23" ht="15">
      <c r="B645" s="92">
        <v>1832400540</v>
      </c>
      <c r="C645" s="109" t="str">
        <f t="shared" si="152"/>
        <v>540</v>
      </c>
      <c r="D645" s="109" t="str">
        <f t="shared" si="153"/>
        <v>832400</v>
      </c>
      <c r="E645" s="93" t="s">
        <v>593</v>
      </c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>
        <f>VLOOKUP(B:B,'[3]תשלומים 2017'!B:R,15,0)</f>
        <v>0</v>
      </c>
      <c r="Q645" s="95">
        <f>VLOOKUP(B:B,'[3]דוח כספי 10.17 מעודכן'!A:D,4,0)</f>
        <v>6390.44</v>
      </c>
      <c r="R645" s="95">
        <f>VLOOKUP(B:B,'[3]תשלומים 2017'!B:T,17,0)</f>
        <v>8000</v>
      </c>
      <c r="S645" s="95">
        <f t="shared" si="154"/>
        <v>7668.5280000000002</v>
      </c>
      <c r="T645" s="95">
        <f>VLOOKUP('פירוט תקציב 2017 ו 2018'!B645,'תשלומים 2017'!$A$2:$Q$391,17,0)</f>
        <v>8000</v>
      </c>
      <c r="U645" s="95">
        <v>3000</v>
      </c>
      <c r="V645" s="110"/>
      <c r="W645" s="110"/>
    </row>
    <row r="646" spans="2:23" ht="15">
      <c r="B646" s="92">
        <v>1832400780</v>
      </c>
      <c r="C646" s="109" t="str">
        <f t="shared" si="152"/>
        <v>780</v>
      </c>
      <c r="D646" s="109" t="str">
        <f t="shared" si="153"/>
        <v>832400</v>
      </c>
      <c r="E646" s="93" t="s">
        <v>594</v>
      </c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>
        <f>VLOOKUP(B:B,'[3]תשלומים 2017'!B:R,15,0)</f>
        <v>0</v>
      </c>
      <c r="Q646" s="95">
        <f>VLOOKUP(B:B,'[3]דוח כספי 10.17 מעודכן'!A:D,4,0)</f>
        <v>0</v>
      </c>
      <c r="R646" s="95">
        <f>VLOOKUP(B:B,'[3]תשלומים 2017'!B:T,17,0)</f>
        <v>0</v>
      </c>
      <c r="S646" s="95">
        <f t="shared" si="154"/>
        <v>0</v>
      </c>
      <c r="T646" s="95">
        <f>VLOOKUP('פירוט תקציב 2017 ו 2018'!B646,'תשלומים 2017'!$A$2:$Q$391,17,0)</f>
        <v>0</v>
      </c>
      <c r="U646" s="95">
        <v>0</v>
      </c>
      <c r="V646" s="110"/>
      <c r="W646" s="110"/>
    </row>
    <row r="647" spans="2:23" ht="15">
      <c r="B647" s="100">
        <v>1832400432</v>
      </c>
      <c r="C647" s="101">
        <v>432</v>
      </c>
      <c r="D647" s="101">
        <v>832400</v>
      </c>
      <c r="E647" s="102" t="s">
        <v>595</v>
      </c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>
        <v>0</v>
      </c>
      <c r="Q647" s="103">
        <v>0</v>
      </c>
      <c r="R647" s="103">
        <v>3000</v>
      </c>
      <c r="S647" s="103">
        <v>2665.9</v>
      </c>
      <c r="T647" s="95">
        <v>0</v>
      </c>
      <c r="U647" s="103">
        <v>3000</v>
      </c>
      <c r="V647" s="104"/>
      <c r="W647" s="104"/>
    </row>
    <row r="648" spans="2:23" ht="15">
      <c r="B648" s="92">
        <v>1832400930</v>
      </c>
      <c r="C648" s="109" t="str">
        <f t="shared" si="152"/>
        <v>930</v>
      </c>
      <c r="D648" s="109" t="str">
        <f t="shared" si="153"/>
        <v>832400</v>
      </c>
      <c r="E648" s="93" t="s">
        <v>390</v>
      </c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>
        <f>VLOOKUP(B:B,'[3]תשלומים 2017'!B:R,15,0)</f>
        <v>0</v>
      </c>
      <c r="Q648" s="95">
        <f>VLOOKUP(B:B,'[3]דוח כספי 10.17 מעודכן'!A:D,4,0)</f>
        <v>0</v>
      </c>
      <c r="R648" s="95">
        <f>VLOOKUP(B:B,'[3]תשלומים 2017'!B:T,17,0)</f>
        <v>0</v>
      </c>
      <c r="S648" s="95">
        <f t="shared" si="154"/>
        <v>0</v>
      </c>
      <c r="T648" s="95">
        <f>VLOOKUP('פירוט תקציב 2017 ו 2018'!B648,'תשלומים 2017'!$A$2:$Q$391,17,0)</f>
        <v>0</v>
      </c>
      <c r="U648" s="95">
        <v>0</v>
      </c>
      <c r="V648" s="110"/>
      <c r="W648" s="110"/>
    </row>
    <row r="649" spans="2:23" ht="15">
      <c r="B649" s="92">
        <v>1832400950</v>
      </c>
      <c r="C649" s="109" t="str">
        <f t="shared" si="152"/>
        <v>950</v>
      </c>
      <c r="D649" s="109" t="str">
        <f t="shared" si="153"/>
        <v>832400</v>
      </c>
      <c r="E649" s="93" t="s">
        <v>596</v>
      </c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>
        <f>VLOOKUP(B:B,'[3]תשלומים 2017'!B:R,15,0)</f>
        <v>0</v>
      </c>
      <c r="Q649" s="95">
        <f>VLOOKUP(B:B,'[3]דוח כספי 10.17 מעודכן'!A:D,4,0)</f>
        <v>0</v>
      </c>
      <c r="R649" s="95">
        <f>VLOOKUP(B:B,'[3]תשלומים 2017'!B:T,17,0)</f>
        <v>0</v>
      </c>
      <c r="S649" s="95">
        <f t="shared" si="154"/>
        <v>0</v>
      </c>
      <c r="T649" s="95">
        <f>VLOOKUP('פירוט תקציב 2017 ו 2018'!B649,'תשלומים 2017'!$A$2:$Q$391,17,0)</f>
        <v>0</v>
      </c>
      <c r="U649" s="95">
        <v>0</v>
      </c>
      <c r="V649" s="110"/>
      <c r="W649" s="110"/>
    </row>
    <row r="650" spans="2:23" ht="15">
      <c r="B650" s="92">
        <v>1836200810</v>
      </c>
      <c r="C650" s="109" t="str">
        <f t="shared" si="152"/>
        <v>810</v>
      </c>
      <c r="D650" s="109" t="str">
        <f t="shared" si="153"/>
        <v>836200</v>
      </c>
      <c r="E650" s="93" t="s">
        <v>597</v>
      </c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>
        <f>VLOOKUP(B:B,'[3]תשלומים 2017'!B:R,15,0)</f>
        <v>34000</v>
      </c>
      <c r="Q650" s="95">
        <f>VLOOKUP(B:B,'[3]דוח כספי 10.17 מעודכן'!A:D,4,0)</f>
        <v>25900.5</v>
      </c>
      <c r="R650" s="95">
        <f>VLOOKUP(B:B,'[3]תשלומים 2017'!B:T,17,0)</f>
        <v>32000</v>
      </c>
      <c r="S650" s="95">
        <f t="shared" si="154"/>
        <v>31080.600000000002</v>
      </c>
      <c r="T650" s="95">
        <f>VLOOKUP('פירוט תקציב 2017 ו 2018'!B650,'תשלומים 2017'!$A$2:$Q$391,17,0)</f>
        <v>32000</v>
      </c>
      <c r="U650" s="95">
        <v>32000</v>
      </c>
      <c r="V650" s="110"/>
      <c r="W650" s="110"/>
    </row>
    <row r="651" spans="2:23" ht="15">
      <c r="B651" s="32"/>
      <c r="C651" s="33"/>
      <c r="D651" s="33"/>
      <c r="E651" s="33" t="s">
        <v>252</v>
      </c>
      <c r="F651" s="34" t="e">
        <f>SUM(#REF!)</f>
        <v>#REF!</v>
      </c>
      <c r="G651" s="34" t="e">
        <f>SUM(#REF!)</f>
        <v>#REF!</v>
      </c>
      <c r="H651" s="34" t="e">
        <f>SUM(#REF!)</f>
        <v>#REF!</v>
      </c>
      <c r="I651" s="34" t="e">
        <f>SUM(#REF!)</f>
        <v>#REF!</v>
      </c>
      <c r="J651" s="34" t="e">
        <f>SUM(#REF!)</f>
        <v>#REF!</v>
      </c>
      <c r="K651" s="34" t="e">
        <f>SUM(#REF!)</f>
        <v>#REF!</v>
      </c>
      <c r="L651" s="34" t="e">
        <f>SUM(#REF!)</f>
        <v>#REF!</v>
      </c>
      <c r="M651" s="34" t="e">
        <f>SUM(#REF!)</f>
        <v>#REF!</v>
      </c>
      <c r="N651" s="34" t="e">
        <f>SUM(#REF!)</f>
        <v>#REF!</v>
      </c>
      <c r="O651" s="34" t="e">
        <f>SUM(#REF!)</f>
        <v>#REF!</v>
      </c>
      <c r="P651" s="34">
        <f t="shared" ref="P651:W651" si="155">SUM(P642:P650)</f>
        <v>113000</v>
      </c>
      <c r="Q651" s="34">
        <f t="shared" si="155"/>
        <v>89283.59</v>
      </c>
      <c r="R651" s="34">
        <f t="shared" si="155"/>
        <v>119000</v>
      </c>
      <c r="S651" s="34">
        <f t="shared" si="155"/>
        <v>116673.54666666666</v>
      </c>
      <c r="T651" s="34">
        <f t="shared" si="155"/>
        <v>116000</v>
      </c>
      <c r="U651" s="34">
        <f t="shared" si="155"/>
        <v>116000</v>
      </c>
      <c r="V651" s="123">
        <f t="shared" si="155"/>
        <v>0.6</v>
      </c>
      <c r="W651" s="123">
        <f t="shared" si="155"/>
        <v>0.6</v>
      </c>
    </row>
    <row r="652" spans="2:23" ht="15">
      <c r="B652" s="86"/>
      <c r="C652" s="87" t="s">
        <v>253</v>
      </c>
      <c r="D652" s="87"/>
      <c r="E652" s="87"/>
      <c r="F652" s="87"/>
      <c r="G652" s="87"/>
      <c r="H652" s="87"/>
      <c r="I652" s="88"/>
      <c r="J652" s="95"/>
      <c r="K652" s="124"/>
      <c r="L652" s="124"/>
      <c r="M652" s="124"/>
      <c r="N652" s="124"/>
      <c r="O652" s="95">
        <v>0</v>
      </c>
      <c r="P652" s="124"/>
      <c r="Q652" s="124"/>
      <c r="R652" s="124"/>
      <c r="S652" s="124"/>
      <c r="T652" s="124"/>
      <c r="U652" s="124"/>
      <c r="V652" s="89"/>
      <c r="W652" s="89"/>
    </row>
    <row r="653" spans="2:23" ht="15">
      <c r="B653" s="92">
        <v>1841000110</v>
      </c>
      <c r="C653" s="109" t="str">
        <f t="shared" ref="C653:C705" si="156">MID(B653,8,3)</f>
        <v>110</v>
      </c>
      <c r="D653" s="109" t="str">
        <f t="shared" ref="D653:D663" si="157">MID(B653,2,6)</f>
        <v>841000</v>
      </c>
      <c r="E653" s="93" t="s">
        <v>353</v>
      </c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>
        <f>VLOOKUP(B:B,'[3]תשלומים 2017'!B:R,15,0)</f>
        <v>0</v>
      </c>
      <c r="Q653" s="95">
        <f>VLOOKUP(B:B,'[3]דוח כספי 10.17 מעודכן'!A:D,4,0)</f>
        <v>0</v>
      </c>
      <c r="R653" s="95">
        <f>VLOOKUP(B:B,'[3]תשלומים 2017'!B:T,17,0)</f>
        <v>0</v>
      </c>
      <c r="S653" s="95">
        <f>Q653/9*12</f>
        <v>0</v>
      </c>
      <c r="T653" s="95">
        <f>VLOOKUP('פירוט תקציב 2017 ו 2018'!B653,'תשלומים 2017'!$A$2:$Q$391,17,0)</f>
        <v>0</v>
      </c>
      <c r="U653" s="95">
        <v>0</v>
      </c>
      <c r="V653" s="96"/>
      <c r="W653" s="96"/>
    </row>
    <row r="654" spans="2:23" ht="15">
      <c r="B654" s="92">
        <v>1841000420</v>
      </c>
      <c r="C654" s="109" t="str">
        <f t="shared" si="156"/>
        <v>420</v>
      </c>
      <c r="D654" s="109" t="str">
        <f t="shared" si="157"/>
        <v>841000</v>
      </c>
      <c r="E654" s="93" t="s">
        <v>598</v>
      </c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>
        <f>VLOOKUP(B:B,'[3]תשלומים 2017'!B:R,15,0)</f>
        <v>14000</v>
      </c>
      <c r="Q654" s="95">
        <f>VLOOKUP(B:B,'[3]דוח כספי 10.17 מעודכן'!A:D,4,0)</f>
        <v>31474</v>
      </c>
      <c r="R654" s="95">
        <f>VLOOKUP(B:B,'[3]תשלומים 2017'!B:T,17,0)</f>
        <v>38000</v>
      </c>
      <c r="S654" s="95">
        <f t="shared" ref="S654:S663" si="158">Q654/10*12</f>
        <v>37768.800000000003</v>
      </c>
      <c r="T654" s="95">
        <f>VLOOKUP('פירוט תקציב 2017 ו 2018'!B654,'תשלומים 2017'!$A$2:$Q$391,17,0)</f>
        <v>38000</v>
      </c>
      <c r="U654" s="95">
        <v>38000</v>
      </c>
      <c r="V654" s="110"/>
      <c r="W654" s="110"/>
    </row>
    <row r="655" spans="2:23" ht="15">
      <c r="B655" s="92">
        <v>1841000430</v>
      </c>
      <c r="C655" s="109" t="str">
        <f t="shared" si="156"/>
        <v>430</v>
      </c>
      <c r="D655" s="109" t="str">
        <f t="shared" si="157"/>
        <v>841000</v>
      </c>
      <c r="E655" s="93" t="s">
        <v>599</v>
      </c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>
        <f>VLOOKUP(B:B,'[3]תשלומים 2017'!B:R,15,0)</f>
        <v>43000</v>
      </c>
      <c r="Q655" s="95">
        <f>VLOOKUP(B:B,'[3]דוח כספי 10.17 מעודכן'!A:D,4,0)</f>
        <v>5000</v>
      </c>
      <c r="R655" s="95">
        <f>VLOOKUP(B:B,'[3]תשלומים 2017'!B:T,17,0)</f>
        <v>6000</v>
      </c>
      <c r="S655" s="95">
        <f t="shared" si="158"/>
        <v>6000</v>
      </c>
      <c r="T655" s="95">
        <f>VLOOKUP('פירוט תקציב 2017 ו 2018'!B655,'תשלומים 2017'!$A$2:$Q$391,17,0)</f>
        <v>6000</v>
      </c>
      <c r="U655" s="95">
        <v>6000</v>
      </c>
      <c r="V655" s="110"/>
      <c r="W655" s="110"/>
    </row>
    <row r="656" spans="2:23" ht="15">
      <c r="B656" s="92">
        <v>1841000521</v>
      </c>
      <c r="C656" s="109" t="str">
        <f t="shared" si="156"/>
        <v>521</v>
      </c>
      <c r="D656" s="109" t="str">
        <f t="shared" si="157"/>
        <v>841000</v>
      </c>
      <c r="E656" s="93" t="s">
        <v>600</v>
      </c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>
        <f>VLOOKUP(B:B,'[3]תשלומים 2017'!B:R,15,0)</f>
        <v>0</v>
      </c>
      <c r="Q656" s="95">
        <f>VLOOKUP(B:B,'[3]דוח כספי 10.17 מעודכן'!A:D,4,0)</f>
        <v>1700</v>
      </c>
      <c r="R656" s="95">
        <f>VLOOKUP(B:B,'[3]תשלומים 2017'!B:T,17,0)</f>
        <v>2000</v>
      </c>
      <c r="S656" s="95">
        <f t="shared" si="158"/>
        <v>2040</v>
      </c>
      <c r="T656" s="95">
        <f>VLOOKUP('פירוט תקציב 2017 ו 2018'!B656,'תשלומים 2017'!$A$2:$Q$391,17,0)</f>
        <v>2000</v>
      </c>
      <c r="U656" s="95">
        <v>2000</v>
      </c>
      <c r="V656" s="110"/>
      <c r="W656" s="110"/>
    </row>
    <row r="657" spans="2:23" ht="15">
      <c r="B657" s="92">
        <v>1841000560</v>
      </c>
      <c r="C657" s="109" t="str">
        <f t="shared" si="156"/>
        <v>560</v>
      </c>
      <c r="D657" s="109" t="str">
        <f t="shared" si="157"/>
        <v>841000</v>
      </c>
      <c r="E657" s="93" t="s">
        <v>601</v>
      </c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>
        <f>VLOOKUP(B:B,'[3]תשלומים 2017'!B:R,15,0)</f>
        <v>9000</v>
      </c>
      <c r="Q657" s="95">
        <f>VLOOKUP(B:B,'[3]דוח כספי 10.17 מעודכן'!A:D,4,0)</f>
        <v>5425</v>
      </c>
      <c r="R657" s="95">
        <f>VLOOKUP(B:B,'[3]תשלומים 2017'!B:T,17,0)</f>
        <v>5000</v>
      </c>
      <c r="S657" s="95">
        <f t="shared" si="158"/>
        <v>6510</v>
      </c>
      <c r="T657" s="95">
        <f>VLOOKUP('פירוט תקציב 2017 ו 2018'!B657,'תשלומים 2017'!$A$2:$Q$391,17,0)</f>
        <v>5000</v>
      </c>
      <c r="U657" s="95">
        <v>5500</v>
      </c>
      <c r="V657" s="110"/>
      <c r="W657" s="110"/>
    </row>
    <row r="658" spans="2:23" ht="15">
      <c r="B658" s="92">
        <v>1841000750</v>
      </c>
      <c r="C658" s="109" t="str">
        <f t="shared" si="156"/>
        <v>750</v>
      </c>
      <c r="D658" s="109" t="str">
        <f t="shared" si="157"/>
        <v>841000</v>
      </c>
      <c r="E658" s="93" t="s">
        <v>602</v>
      </c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>
        <f>VLOOKUP(B:B,'[3]תשלומים 2017'!B:R,15,0)</f>
        <v>0</v>
      </c>
      <c r="Q658" s="95">
        <f>VLOOKUP(B:B,'[3]דוח כספי 10.17 מעודכן'!A:D,4,0)</f>
        <v>0</v>
      </c>
      <c r="R658" s="95">
        <f>VLOOKUP(B:B,'[3]תשלומים 2017'!B:T,17,0)</f>
        <v>0</v>
      </c>
      <c r="S658" s="95">
        <f t="shared" si="158"/>
        <v>0</v>
      </c>
      <c r="T658" s="95">
        <f>VLOOKUP('פירוט תקציב 2017 ו 2018'!B658,'תשלומים 2017'!$A$2:$Q$391,17,0)</f>
        <v>0</v>
      </c>
      <c r="U658" s="95">
        <v>0</v>
      </c>
      <c r="V658" s="110"/>
      <c r="W658" s="110"/>
    </row>
    <row r="659" spans="2:23" ht="15">
      <c r="B659" s="92">
        <v>1841000760</v>
      </c>
      <c r="C659" s="109" t="str">
        <f t="shared" si="156"/>
        <v>760</v>
      </c>
      <c r="D659" s="109" t="str">
        <f t="shared" si="157"/>
        <v>841000</v>
      </c>
      <c r="E659" s="93" t="s">
        <v>603</v>
      </c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>
        <f>VLOOKUP(B:B,'[3]תשלומים 2017'!B:R,15,0)</f>
        <v>38000</v>
      </c>
      <c r="Q659" s="95">
        <f>VLOOKUP(B:B,'[3]דוח כספי 10.17 מעודכן'!A:D,4,0)</f>
        <v>5000</v>
      </c>
      <c r="R659" s="95">
        <f>VLOOKUP(B:B,'[3]תשלומים 2017'!B:T,17,0)</f>
        <v>6000</v>
      </c>
      <c r="S659" s="95">
        <f t="shared" si="158"/>
        <v>6000</v>
      </c>
      <c r="T659" s="95">
        <f>VLOOKUP('פירוט תקציב 2017 ו 2018'!B659,'תשלומים 2017'!$A$2:$Q$391,17,0)</f>
        <v>6000</v>
      </c>
      <c r="U659" s="95">
        <v>1000</v>
      </c>
      <c r="V659" s="110"/>
      <c r="W659" s="110"/>
    </row>
    <row r="660" spans="2:23" ht="15">
      <c r="B660" s="92">
        <v>1841000770</v>
      </c>
      <c r="C660" s="109" t="str">
        <f t="shared" si="156"/>
        <v>770</v>
      </c>
      <c r="D660" s="109" t="str">
        <f t="shared" si="157"/>
        <v>841000</v>
      </c>
      <c r="E660" s="93" t="s">
        <v>604</v>
      </c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>
        <f>VLOOKUP(B:B,'[3]תשלומים 2017'!B:R,15,0)</f>
        <v>32000</v>
      </c>
      <c r="Q660" s="95">
        <f>VLOOKUP(B:B,'[3]דוח כספי 10.17 מעודכן'!A:D,4,0)</f>
        <v>39646</v>
      </c>
      <c r="R660" s="95">
        <f>VLOOKUP(B:B,'[3]תשלומים 2017'!B:T,17,0)</f>
        <v>48000</v>
      </c>
      <c r="S660" s="95">
        <f t="shared" si="158"/>
        <v>47575.199999999997</v>
      </c>
      <c r="T660" s="95">
        <f>VLOOKUP('פירוט תקציב 2017 ו 2018'!B660,'תשלומים 2017'!$A$2:$Q$391,17,0)</f>
        <v>48000</v>
      </c>
      <c r="U660" s="95">
        <v>48000</v>
      </c>
      <c r="V660" s="110"/>
      <c r="W660" s="110"/>
    </row>
    <row r="661" spans="2:23" ht="15">
      <c r="B661" s="92">
        <v>1841000780</v>
      </c>
      <c r="C661" s="109" t="str">
        <f t="shared" si="156"/>
        <v>780</v>
      </c>
      <c r="D661" s="109" t="str">
        <f t="shared" si="157"/>
        <v>841000</v>
      </c>
      <c r="E661" s="93" t="s">
        <v>565</v>
      </c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>
        <f>VLOOKUP(B:B,'[3]תשלומים 2017'!B:R,15,0)</f>
        <v>0</v>
      </c>
      <c r="Q661" s="95">
        <f>VLOOKUP(B:B,'[3]דוח כספי 10.17 מעודכן'!A:D,4,0)</f>
        <v>0</v>
      </c>
      <c r="R661" s="95">
        <f>VLOOKUP(B:B,'[3]תשלומים 2017'!B:T,17,0)</f>
        <v>0</v>
      </c>
      <c r="S661" s="95">
        <f t="shared" si="158"/>
        <v>0</v>
      </c>
      <c r="T661" s="95">
        <f>VLOOKUP('פירוט תקציב 2017 ו 2018'!B661,'תשלומים 2017'!$A$2:$Q$391,17,0)</f>
        <v>0</v>
      </c>
      <c r="U661" s="95">
        <v>0</v>
      </c>
      <c r="V661" s="110"/>
      <c r="W661" s="110"/>
    </row>
    <row r="662" spans="2:23" ht="15">
      <c r="B662" s="92">
        <v>1841100810</v>
      </c>
      <c r="C662" s="109" t="str">
        <f t="shared" si="156"/>
        <v>810</v>
      </c>
      <c r="D662" s="109" t="str">
        <f t="shared" si="157"/>
        <v>841100</v>
      </c>
      <c r="E662" s="93" t="s">
        <v>605</v>
      </c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>
        <f>VLOOKUP(B:B,'[3]תשלומים 2017'!B:R,15,0)</f>
        <v>0</v>
      </c>
      <c r="Q662" s="95">
        <f>VLOOKUP(B:B,'[3]דוח כספי 10.17 מעודכן'!A:D,4,0)</f>
        <v>0</v>
      </c>
      <c r="R662" s="95">
        <f>VLOOKUP(B:B,'[3]תשלומים 2017'!B:T,17,0)</f>
        <v>0</v>
      </c>
      <c r="S662" s="95">
        <f t="shared" si="158"/>
        <v>0</v>
      </c>
      <c r="T662" s="95">
        <f>VLOOKUP('פירוט תקציב 2017 ו 2018'!B662,'תשלומים 2017'!$A$2:$Q$391,17,0)</f>
        <v>0</v>
      </c>
      <c r="U662" s="95">
        <v>0</v>
      </c>
      <c r="V662" s="110"/>
      <c r="W662" s="110"/>
    </row>
    <row r="663" spans="2:23" ht="15">
      <c r="B663" s="92">
        <v>1841200810</v>
      </c>
      <c r="C663" s="109" t="str">
        <f t="shared" si="156"/>
        <v>810</v>
      </c>
      <c r="D663" s="109" t="str">
        <f t="shared" si="157"/>
        <v>841200</v>
      </c>
      <c r="E663" s="93" t="s">
        <v>606</v>
      </c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>
        <f>VLOOKUP(B:B,'[3]תשלומים 2017'!B:R,15,0)</f>
        <v>81000</v>
      </c>
      <c r="Q663" s="95">
        <f>VLOOKUP(B:B,'[3]דוח כספי 10.17 מעודכן'!A:D,4,0)</f>
        <v>26442</v>
      </c>
      <c r="R663" s="95">
        <f>VLOOKUP(B:B,'[3]תשלומים 2017'!B:T,17,0)</f>
        <v>35000</v>
      </c>
      <c r="S663" s="95">
        <f t="shared" si="158"/>
        <v>31730.399999999998</v>
      </c>
      <c r="T663" s="95">
        <f>VLOOKUP('פירוט תקציב 2017 ו 2018'!B663,'תשלומים 2017'!$A$2:$Q$391,17,0)</f>
        <v>35000</v>
      </c>
      <c r="U663" s="95">
        <v>30000</v>
      </c>
      <c r="V663" s="110"/>
      <c r="W663" s="110"/>
    </row>
    <row r="664" spans="2:23" ht="15">
      <c r="B664" s="28"/>
      <c r="C664" s="29"/>
      <c r="D664" s="29"/>
      <c r="E664" s="29" t="s">
        <v>257</v>
      </c>
      <c r="F664" s="30" t="e">
        <f>SUM(#REF!)</f>
        <v>#REF!</v>
      </c>
      <c r="G664" s="30" t="e">
        <f>SUM(#REF!)</f>
        <v>#REF!</v>
      </c>
      <c r="H664" s="30" t="e">
        <f>SUM(#REF!)</f>
        <v>#REF!</v>
      </c>
      <c r="I664" s="30" t="e">
        <f>SUM(#REF!)</f>
        <v>#REF!</v>
      </c>
      <c r="J664" s="30" t="e">
        <f>SUM(#REF!)</f>
        <v>#REF!</v>
      </c>
      <c r="K664" s="30" t="e">
        <f>SUM(#REF!)</f>
        <v>#REF!</v>
      </c>
      <c r="L664" s="30" t="e">
        <f>SUM(#REF!)</f>
        <v>#REF!</v>
      </c>
      <c r="M664" s="30" t="e">
        <f>SUM(#REF!)</f>
        <v>#REF!</v>
      </c>
      <c r="N664" s="30" t="e">
        <f>SUM(#REF!)</f>
        <v>#REF!</v>
      </c>
      <c r="O664" s="30" t="e">
        <f>SUM(#REF!)</f>
        <v>#REF!</v>
      </c>
      <c r="P664" s="30">
        <f t="shared" ref="P664:S664" si="159">SUM(P653:P663)</f>
        <v>217000</v>
      </c>
      <c r="Q664" s="30">
        <f t="shared" si="159"/>
        <v>114687</v>
      </c>
      <c r="R664" s="30">
        <f t="shared" si="159"/>
        <v>140000</v>
      </c>
      <c r="S664" s="30">
        <f t="shared" si="159"/>
        <v>137624.4</v>
      </c>
      <c r="T664" s="30">
        <f>SUM(T653:T663)</f>
        <v>140000</v>
      </c>
      <c r="U664" s="30">
        <f>SUM(U653:U663)</f>
        <v>130500</v>
      </c>
      <c r="V664" s="112"/>
      <c r="W664" s="112">
        <f t="shared" ref="W664" si="160">SUM(W654:W663)</f>
        <v>0</v>
      </c>
    </row>
    <row r="665" spans="2:23" ht="15">
      <c r="B665" s="92">
        <v>1842000110</v>
      </c>
      <c r="C665" s="109" t="str">
        <f t="shared" si="156"/>
        <v>110</v>
      </c>
      <c r="D665" s="109" t="str">
        <f t="shared" ref="D665:D676" si="161">MID(B665,2,6)</f>
        <v>842000</v>
      </c>
      <c r="E665" s="93" t="s">
        <v>607</v>
      </c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>
        <f>VLOOKUP(B:B,'[3]תשלומים 2017'!B:R,15,0)</f>
        <v>1776000</v>
      </c>
      <c r="Q665" s="95">
        <f>VLOOKUP(B:B,'[3]דוח כספי 10.17 מעודכן'!A:D,4,0)</f>
        <v>1462389.21</v>
      </c>
      <c r="R665" s="95">
        <v>2050000</v>
      </c>
      <c r="S665" s="95">
        <f>Q665/9*12</f>
        <v>1949852.28</v>
      </c>
      <c r="T665" s="95">
        <f>VLOOKUP('פירוט תקציב 2017 ו 2018'!B665,'תשלומים 2017'!$A$2:$Q$391,17,0)</f>
        <v>2100000</v>
      </c>
      <c r="U665" s="95">
        <v>2074000</v>
      </c>
      <c r="V665" s="96">
        <v>11.25</v>
      </c>
      <c r="W665" s="96">
        <v>11.25</v>
      </c>
    </row>
    <row r="666" spans="2:23" ht="15">
      <c r="B666" s="92">
        <v>1842000540</v>
      </c>
      <c r="C666" s="109" t="str">
        <f t="shared" si="156"/>
        <v>540</v>
      </c>
      <c r="D666" s="109" t="str">
        <f t="shared" si="161"/>
        <v>842000</v>
      </c>
      <c r="E666" s="93" t="s">
        <v>608</v>
      </c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>
        <f>VLOOKUP(B:B,'[3]תשלומים 2017'!B:R,15,0)</f>
        <v>14000</v>
      </c>
      <c r="Q666" s="95">
        <f>VLOOKUP(B:B,'[3]דוח כספי 10.17 מעודכן'!A:D,4,0)</f>
        <v>11076.94</v>
      </c>
      <c r="R666" s="95">
        <f>VLOOKUP(B:B,'[3]תשלומים 2017'!B:T,17,0)</f>
        <v>14000</v>
      </c>
      <c r="S666" s="95">
        <f t="shared" ref="S666:S676" si="162">Q666/10*12</f>
        <v>13292.328</v>
      </c>
      <c r="T666" s="95">
        <f>VLOOKUP('פירוט תקציב 2017 ו 2018'!B666,'תשלומים 2017'!$A$2:$Q$391,17,0)</f>
        <v>14000</v>
      </c>
      <c r="U666" s="95">
        <v>14000</v>
      </c>
      <c r="V666" s="110"/>
      <c r="W666" s="110"/>
    </row>
    <row r="667" spans="2:23" ht="15">
      <c r="B667" s="92">
        <v>1842200840</v>
      </c>
      <c r="C667" s="109" t="str">
        <f t="shared" si="156"/>
        <v>840</v>
      </c>
      <c r="D667" s="109" t="str">
        <f t="shared" si="161"/>
        <v>842200</v>
      </c>
      <c r="E667" s="93" t="s">
        <v>609</v>
      </c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>
        <f>VLOOKUP(B:B,'[3]תשלומים 2017'!B:R,15,0)</f>
        <v>157000</v>
      </c>
      <c r="Q667" s="95">
        <f>VLOOKUP(B:B,'[3]דוח כספי 10.17 מעודכן'!A:D,4,0)</f>
        <v>213260</v>
      </c>
      <c r="R667" s="95">
        <f>VLOOKUP(B:B,'[3]תשלומים 2017'!B:T,17,0)</f>
        <v>256000</v>
      </c>
      <c r="S667" s="95">
        <f t="shared" si="162"/>
        <v>255912</v>
      </c>
      <c r="T667" s="95">
        <f>VLOOKUP('פירוט תקציב 2017 ו 2018'!B667,'תשלומים 2017'!$A$2:$Q$391,17,0)</f>
        <v>256000</v>
      </c>
      <c r="U667" s="95">
        <v>256000</v>
      </c>
      <c r="V667" s="110"/>
      <c r="W667" s="110"/>
    </row>
    <row r="668" spans="2:23" ht="15">
      <c r="B668" s="92">
        <v>1842210810</v>
      </c>
      <c r="C668" s="109" t="str">
        <f t="shared" si="156"/>
        <v>810</v>
      </c>
      <c r="D668" s="109" t="str">
        <f t="shared" si="161"/>
        <v>842210</v>
      </c>
      <c r="E668" s="93" t="s">
        <v>610</v>
      </c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>
        <f>VLOOKUP(B:B,'[3]תשלומים 2017'!B:R,15,0)</f>
        <v>0</v>
      </c>
      <c r="Q668" s="95">
        <f>VLOOKUP(B:B,'[3]דוח כספי 10.17 מעודכן'!A:D,4,0)</f>
        <v>0</v>
      </c>
      <c r="R668" s="95">
        <f>VLOOKUP(B:B,'[3]תשלומים 2017'!B:T,17,0)</f>
        <v>0</v>
      </c>
      <c r="S668" s="95">
        <f t="shared" si="162"/>
        <v>0</v>
      </c>
      <c r="T668" s="95">
        <f>VLOOKUP('פירוט תקציב 2017 ו 2018'!B668,'תשלומים 2017'!$A$2:$Q$391,17,0)</f>
        <v>0</v>
      </c>
      <c r="U668" s="95"/>
      <c r="V668" s="110"/>
      <c r="W668" s="110"/>
    </row>
    <row r="669" spans="2:23" ht="15">
      <c r="B669" s="92">
        <v>1842210840</v>
      </c>
      <c r="C669" s="109" t="str">
        <f t="shared" si="156"/>
        <v>840</v>
      </c>
      <c r="D669" s="109" t="str">
        <f t="shared" si="161"/>
        <v>842210</v>
      </c>
      <c r="E669" s="93" t="s">
        <v>261</v>
      </c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>
        <f>VLOOKUP(B:B,'[3]תשלומים 2017'!B:R,15,0)</f>
        <v>292000</v>
      </c>
      <c r="Q669" s="95">
        <f>VLOOKUP(B:B,'[3]דוח כספי 10.17 מעודכן'!A:D,4,0)</f>
        <v>253802</v>
      </c>
      <c r="R669" s="95">
        <f>VLOOKUP(B:B,'[3]תשלומים 2017'!B:T,17,0)</f>
        <v>305000</v>
      </c>
      <c r="S669" s="95">
        <f t="shared" si="162"/>
        <v>304562.40000000002</v>
      </c>
      <c r="T669" s="95">
        <f>VLOOKUP('פירוט תקציב 2017 ו 2018'!B669,'תשלומים 2017'!$A$2:$Q$391,17,0)</f>
        <v>305000</v>
      </c>
      <c r="U669" s="95">
        <v>305000</v>
      </c>
      <c r="V669" s="110"/>
      <c r="W669" s="110"/>
    </row>
    <row r="670" spans="2:23" ht="15">
      <c r="B670" s="92">
        <v>1842220810</v>
      </c>
      <c r="C670" s="109" t="str">
        <f t="shared" si="156"/>
        <v>810</v>
      </c>
      <c r="D670" s="109" t="str">
        <f t="shared" si="161"/>
        <v>842220</v>
      </c>
      <c r="E670" s="93" t="s">
        <v>266</v>
      </c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>
        <f>VLOOKUP(B:B,'[3]תשלומים 2017'!B:R,15,0)</f>
        <v>346000</v>
      </c>
      <c r="Q670" s="95">
        <f>VLOOKUP(B:B,'[3]דוח כספי 10.17 מעודכן'!A:D,4,0)</f>
        <v>302900</v>
      </c>
      <c r="R670" s="95">
        <f>VLOOKUP(B:B,'[3]תשלומים 2017'!B:T,17,0)</f>
        <v>364000</v>
      </c>
      <c r="S670" s="95">
        <f t="shared" si="162"/>
        <v>363480</v>
      </c>
      <c r="T670" s="95">
        <f>VLOOKUP('פירוט תקציב 2017 ו 2018'!B670,'תשלומים 2017'!$A$2:$Q$391,17,0)</f>
        <v>364000</v>
      </c>
      <c r="U670" s="95">
        <v>363000</v>
      </c>
      <c r="V670" s="110"/>
      <c r="W670" s="110"/>
    </row>
    <row r="671" spans="2:23" ht="15">
      <c r="B671" s="92">
        <v>1842222510</v>
      </c>
      <c r="C671" s="109" t="str">
        <f t="shared" si="156"/>
        <v>510</v>
      </c>
      <c r="D671" s="109" t="str">
        <f t="shared" si="161"/>
        <v>842222</v>
      </c>
      <c r="E671" s="93" t="s">
        <v>267</v>
      </c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>
        <f>VLOOKUP(B:B,'[3]תשלומים 2017'!B:R,15,0)</f>
        <v>0</v>
      </c>
      <c r="Q671" s="95">
        <f>VLOOKUP(B:B,'[3]דוח כספי 10.17 מעודכן'!A:D,4,0)</f>
        <v>702</v>
      </c>
      <c r="R671" s="95">
        <f>VLOOKUP(B:B,'[3]תשלומים 2017'!B:T,17,0)</f>
        <v>1000</v>
      </c>
      <c r="S671" s="95">
        <f t="shared" si="162"/>
        <v>842.40000000000009</v>
      </c>
      <c r="T671" s="95">
        <f>VLOOKUP('פירוט תקציב 2017 ו 2018'!B671,'תשלומים 2017'!$A$2:$Q$391,17,0)</f>
        <v>1000</v>
      </c>
      <c r="U671" s="95">
        <v>1000</v>
      </c>
      <c r="V671" s="110"/>
      <c r="W671" s="110"/>
    </row>
    <row r="672" spans="2:23" ht="15">
      <c r="B672" s="92">
        <v>1842222930</v>
      </c>
      <c r="C672" s="109" t="str">
        <f t="shared" si="156"/>
        <v>930</v>
      </c>
      <c r="D672" s="109" t="str">
        <f t="shared" si="161"/>
        <v>842222</v>
      </c>
      <c r="E672" s="93" t="s">
        <v>267</v>
      </c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>
        <f>VLOOKUP(B:B,'[3]תשלומים 2017'!B:R,15,0)</f>
        <v>0</v>
      </c>
      <c r="Q672" s="95">
        <f>VLOOKUP(B:B,'[3]דוח כספי 10.17 מעודכן'!A:D,4,0)</f>
        <v>0</v>
      </c>
      <c r="R672" s="95">
        <f>VLOOKUP(B:B,'[3]תשלומים 2017'!B:T,17,0)</f>
        <v>0</v>
      </c>
      <c r="S672" s="95">
        <f t="shared" si="162"/>
        <v>0</v>
      </c>
      <c r="T672" s="95">
        <f>VLOOKUP('פירוט תקציב 2017 ו 2018'!B672,'תשלומים 2017'!$A$2:$Q$391,17,0)</f>
        <v>0</v>
      </c>
      <c r="U672" s="95">
        <v>0</v>
      </c>
      <c r="V672" s="110"/>
      <c r="W672" s="110"/>
    </row>
    <row r="673" spans="2:23" ht="15">
      <c r="B673" s="92">
        <v>1842230810</v>
      </c>
      <c r="C673" s="109" t="str">
        <f t="shared" si="156"/>
        <v>810</v>
      </c>
      <c r="D673" s="109" t="str">
        <f t="shared" si="161"/>
        <v>842230</v>
      </c>
      <c r="E673" s="93" t="s">
        <v>611</v>
      </c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>
        <f>VLOOKUP(B:B,'[3]תשלומים 2017'!B:R,15,0)</f>
        <v>51000</v>
      </c>
      <c r="Q673" s="95">
        <f>VLOOKUP(B:B,'[3]דוח כספי 10.17 מעודכן'!A:D,4,0)</f>
        <v>100757</v>
      </c>
      <c r="R673" s="95">
        <f>VLOOKUP(B:B,'[3]תשלומים 2017'!B:T,17,0)</f>
        <v>121000</v>
      </c>
      <c r="S673" s="95">
        <f t="shared" si="162"/>
        <v>120908.40000000001</v>
      </c>
      <c r="T673" s="95">
        <f>VLOOKUP('פירוט תקציב 2017 ו 2018'!B673,'תשלומים 2017'!$A$2:$Q$391,17,0)</f>
        <v>121000</v>
      </c>
      <c r="U673" s="95">
        <v>121000</v>
      </c>
      <c r="V673" s="110"/>
      <c r="W673" s="110"/>
    </row>
    <row r="674" spans="2:23" ht="15">
      <c r="B674" s="92">
        <v>1842500810</v>
      </c>
      <c r="C674" s="109" t="str">
        <f t="shared" si="156"/>
        <v>810</v>
      </c>
      <c r="D674" s="109" t="str">
        <f t="shared" si="161"/>
        <v>842500</v>
      </c>
      <c r="E674" s="93" t="s">
        <v>270</v>
      </c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>
        <f>VLOOKUP(B:B,'[3]תשלומים 2017'!B:R,15,0)</f>
        <v>1000</v>
      </c>
      <c r="Q674" s="95">
        <f>VLOOKUP(B:B,'[3]דוח כספי 10.17 מעודכן'!A:D,4,0)</f>
        <v>0</v>
      </c>
      <c r="R674" s="95">
        <f>VLOOKUP(B:B,'[3]תשלומים 2017'!B:T,17,0)</f>
        <v>0</v>
      </c>
      <c r="S674" s="95">
        <f t="shared" si="162"/>
        <v>0</v>
      </c>
      <c r="T674" s="95">
        <f>VLOOKUP('פירוט תקציב 2017 ו 2018'!B674,'תשלומים 2017'!$A$2:$Q$391,17,0)</f>
        <v>0</v>
      </c>
      <c r="U674" s="95">
        <v>0</v>
      </c>
      <c r="V674" s="110"/>
      <c r="W674" s="110"/>
    </row>
    <row r="675" spans="2:23" ht="15">
      <c r="B675" s="92">
        <v>1842510810</v>
      </c>
      <c r="C675" s="109" t="str">
        <f t="shared" si="156"/>
        <v>810</v>
      </c>
      <c r="D675" s="109" t="str">
        <f t="shared" si="161"/>
        <v>842510</v>
      </c>
      <c r="E675" s="93" t="s">
        <v>612</v>
      </c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>
        <f>VLOOKUP(B:B,'[3]תשלומים 2017'!B:R,15,0)</f>
        <v>8000</v>
      </c>
      <c r="Q675" s="95">
        <f>VLOOKUP(B:B,'[3]דוח כספי 10.17 מעודכן'!A:D,4,0)</f>
        <v>0</v>
      </c>
      <c r="R675" s="95">
        <f>VLOOKUP(B:B,'[3]תשלומים 2017'!B:T,17,0)</f>
        <v>0</v>
      </c>
      <c r="S675" s="95">
        <f t="shared" si="162"/>
        <v>0</v>
      </c>
      <c r="T675" s="95">
        <f>VLOOKUP('פירוט תקציב 2017 ו 2018'!B675,'תשלומים 2017'!$A$2:$Q$391,17,0)</f>
        <v>0</v>
      </c>
      <c r="U675" s="95">
        <v>0</v>
      </c>
      <c r="V675" s="110"/>
      <c r="W675" s="110"/>
    </row>
    <row r="676" spans="2:23" ht="15">
      <c r="B676" s="92">
        <v>1842600410</v>
      </c>
      <c r="C676" s="109" t="str">
        <f t="shared" si="156"/>
        <v>410</v>
      </c>
      <c r="D676" s="109" t="str">
        <f t="shared" si="161"/>
        <v>842600</v>
      </c>
      <c r="E676" s="93" t="s">
        <v>613</v>
      </c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>
        <f>VLOOKUP(B:B,'[3]תשלומים 2017'!B:R,15,0)</f>
        <v>62000</v>
      </c>
      <c r="Q676" s="95">
        <f>VLOOKUP(B:B,'[3]דוח כספי 10.17 מעודכן'!A:D,4,0)</f>
        <v>74400</v>
      </c>
      <c r="R676" s="95">
        <f>VLOOKUP(B:B,'[3]תשלומים 2017'!B:T,17,0)</f>
        <v>90000</v>
      </c>
      <c r="S676" s="95">
        <f t="shared" si="162"/>
        <v>89280</v>
      </c>
      <c r="T676" s="95">
        <f>VLOOKUP('פירוט תקציב 2017 ו 2018'!B676,'תשלומים 2017'!$A$2:$Q$391,17,0)</f>
        <v>90000</v>
      </c>
      <c r="U676" s="95">
        <v>90000</v>
      </c>
      <c r="V676" s="110"/>
      <c r="W676" s="110"/>
    </row>
    <row r="677" spans="2:23" ht="15">
      <c r="B677" s="28"/>
      <c r="C677" s="29"/>
      <c r="D677" s="29"/>
      <c r="E677" s="29" t="s">
        <v>274</v>
      </c>
      <c r="F677" s="30" t="e">
        <f>SUM(#REF!)</f>
        <v>#REF!</v>
      </c>
      <c r="G677" s="30" t="e">
        <f>SUM(#REF!)</f>
        <v>#REF!</v>
      </c>
      <c r="H677" s="30" t="e">
        <f>SUM(#REF!)</f>
        <v>#REF!</v>
      </c>
      <c r="I677" s="30" t="e">
        <f>SUM(#REF!)</f>
        <v>#REF!</v>
      </c>
      <c r="J677" s="30" t="e">
        <f>SUM(#REF!)</f>
        <v>#REF!</v>
      </c>
      <c r="K677" s="30" t="e">
        <f>SUM(#REF!)</f>
        <v>#REF!</v>
      </c>
      <c r="L677" s="30" t="e">
        <f>SUM(#REF!)</f>
        <v>#REF!</v>
      </c>
      <c r="M677" s="30" t="e">
        <f>SUM(#REF!)</f>
        <v>#REF!</v>
      </c>
      <c r="N677" s="30" t="e">
        <f>SUM(#REF!)</f>
        <v>#REF!</v>
      </c>
      <c r="O677" s="30" t="e">
        <f>SUM(#REF!)</f>
        <v>#REF!</v>
      </c>
      <c r="P677" s="30">
        <f t="shared" ref="P677:W677" si="163">SUM(P665:P676)</f>
        <v>2707000</v>
      </c>
      <c r="Q677" s="30">
        <f t="shared" si="163"/>
        <v>2419287.15</v>
      </c>
      <c r="R677" s="30">
        <f t="shared" si="163"/>
        <v>3201000</v>
      </c>
      <c r="S677" s="30">
        <f t="shared" si="163"/>
        <v>3098129.8079999997</v>
      </c>
      <c r="T677" s="30">
        <f t="shared" si="163"/>
        <v>3251000</v>
      </c>
      <c r="U677" s="30">
        <f t="shared" si="163"/>
        <v>3224000</v>
      </c>
      <c r="V677" s="112">
        <f t="shared" si="163"/>
        <v>11.25</v>
      </c>
      <c r="W677" s="112">
        <f t="shared" si="163"/>
        <v>11.25</v>
      </c>
    </row>
    <row r="678" spans="2:23" ht="15">
      <c r="B678" s="92">
        <v>1843500810</v>
      </c>
      <c r="C678" s="109" t="str">
        <f t="shared" si="156"/>
        <v>810</v>
      </c>
      <c r="D678" s="109" t="str">
        <f>MID(B678,2,6)</f>
        <v>843500</v>
      </c>
      <c r="E678" s="93" t="s">
        <v>282</v>
      </c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>
        <f>VLOOKUP(B:B,'[3]תשלומים 2017'!B:R,15,0)</f>
        <v>1499000</v>
      </c>
      <c r="Q678" s="95">
        <f>VLOOKUP(B:B,'[3]דוח כספי 10.17 מעודכן'!A:D,4,0)</f>
        <v>1311711</v>
      </c>
      <c r="R678" s="95">
        <v>1560000</v>
      </c>
      <c r="S678" s="95">
        <f>Q678/10*12</f>
        <v>1574053.2000000002</v>
      </c>
      <c r="T678" s="95">
        <f>VLOOKUP('פירוט תקציב 2017 ו 2018'!B678,'תשלומים 2017'!$A$2:$Q$391,17,0)</f>
        <v>1574000</v>
      </c>
      <c r="U678" s="95">
        <v>1560000</v>
      </c>
      <c r="V678" s="110"/>
      <c r="W678" s="110"/>
    </row>
    <row r="679" spans="2:23" ht="15">
      <c r="B679" s="92">
        <v>1843510840</v>
      </c>
      <c r="C679" s="109" t="str">
        <f t="shared" si="156"/>
        <v>840</v>
      </c>
      <c r="D679" s="109" t="str">
        <f>MID(B679,2,6)</f>
        <v>843510</v>
      </c>
      <c r="E679" s="93" t="s">
        <v>278</v>
      </c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>
        <f>VLOOKUP(B:B,'[3]תשלומים 2017'!B:R,15,0)</f>
        <v>424000</v>
      </c>
      <c r="Q679" s="95">
        <f>VLOOKUP(B:B,'[3]דוח כספי 10.17 מעודכן'!A:D,4,0)</f>
        <v>411418</v>
      </c>
      <c r="R679" s="95">
        <f>VLOOKUP(B:B,'[3]תשלומים 2017'!B:T,17,0)</f>
        <v>494000</v>
      </c>
      <c r="S679" s="95">
        <f>Q679/10*12</f>
        <v>493701.60000000003</v>
      </c>
      <c r="T679" s="95">
        <f>VLOOKUP('פירוט תקציב 2017 ו 2018'!B679,'תשלומים 2017'!$A$2:$Q$391,17,0)</f>
        <v>494000</v>
      </c>
      <c r="U679" s="95">
        <v>494000</v>
      </c>
      <c r="V679" s="110"/>
      <c r="W679" s="110"/>
    </row>
    <row r="680" spans="2:23" ht="15">
      <c r="B680" s="92">
        <v>1843800840</v>
      </c>
      <c r="C680" s="109" t="str">
        <f t="shared" si="156"/>
        <v>840</v>
      </c>
      <c r="D680" s="109" t="str">
        <f>MID(B680,2,6)</f>
        <v>843800</v>
      </c>
      <c r="E680" s="93" t="s">
        <v>276</v>
      </c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>
        <f>VLOOKUP(B:B,'[3]תשלומים 2017'!B:R,15,0)</f>
        <v>291000</v>
      </c>
      <c r="Q680" s="95">
        <f>VLOOKUP(B:B,'[3]דוח כספי 10.17 מעודכן'!A:D,4,0)</f>
        <v>200420</v>
      </c>
      <c r="R680" s="95">
        <f>VLOOKUP(B:B,'[3]תשלומים 2017'!B:T,17,0)</f>
        <v>241000</v>
      </c>
      <c r="S680" s="95">
        <f>Q680/10*12</f>
        <v>240504</v>
      </c>
      <c r="T680" s="95">
        <f>VLOOKUP('פירוט תקציב 2017 ו 2018'!B680,'תשלומים 2017'!$A$2:$Q$391,17,0)</f>
        <v>241000</v>
      </c>
      <c r="U680" s="95">
        <v>241000</v>
      </c>
      <c r="V680" s="110"/>
      <c r="W680" s="110"/>
    </row>
    <row r="681" spans="2:23" ht="15">
      <c r="B681" s="92">
        <v>1843900810</v>
      </c>
      <c r="C681" s="109" t="str">
        <f t="shared" si="156"/>
        <v>810</v>
      </c>
      <c r="D681" s="109" t="str">
        <f>MID(B681,2,6)</f>
        <v>843900</v>
      </c>
      <c r="E681" s="93" t="s">
        <v>614</v>
      </c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>
        <f>VLOOKUP(B:B,'[3]תשלומים 2017'!B:R,15,0)</f>
        <v>0</v>
      </c>
      <c r="Q681" s="95">
        <f>VLOOKUP(B:B,'[3]דוח כספי 10.17 מעודכן'!A:D,4,0)</f>
        <v>0</v>
      </c>
      <c r="R681" s="95">
        <f>VLOOKUP(B:B,'[3]תשלומים 2017'!B:T,17,0)</f>
        <v>0</v>
      </c>
      <c r="S681" s="95">
        <f>Q681/10*12</f>
        <v>0</v>
      </c>
      <c r="T681" s="95">
        <f>VLOOKUP('פירוט תקציב 2017 ו 2018'!B681,'תשלומים 2017'!$A$2:$Q$391,17,0)</f>
        <v>0</v>
      </c>
      <c r="U681" s="95">
        <v>0</v>
      </c>
      <c r="V681" s="110"/>
      <c r="W681" s="110"/>
    </row>
    <row r="682" spans="2:23" ht="15">
      <c r="B682" s="92">
        <v>1843910810</v>
      </c>
      <c r="C682" s="109" t="str">
        <f t="shared" si="156"/>
        <v>810</v>
      </c>
      <c r="D682" s="109" t="str">
        <f>MID(B682,2,6)</f>
        <v>843910</v>
      </c>
      <c r="E682" s="93" t="s">
        <v>615</v>
      </c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>
        <f>VLOOKUP(B:B,'[3]תשלומים 2017'!B:R,15,0)</f>
        <v>19000</v>
      </c>
      <c r="Q682" s="95">
        <f>VLOOKUP(B:B,'[3]דוח כספי 10.17 מעודכן'!A:D,4,0)</f>
        <v>12771</v>
      </c>
      <c r="R682" s="95">
        <f>VLOOKUP(B:B,'[3]תשלומים 2017'!B:T,17,0)</f>
        <v>15000</v>
      </c>
      <c r="S682" s="95">
        <f>Q682/10*12</f>
        <v>15325.199999999999</v>
      </c>
      <c r="T682" s="95">
        <f>VLOOKUP('פירוט תקציב 2017 ו 2018'!B682,'תשלומים 2017'!$A$2:$Q$391,17,0)</f>
        <v>15000</v>
      </c>
      <c r="U682" s="95">
        <v>15000</v>
      </c>
      <c r="V682" s="110"/>
      <c r="W682" s="110"/>
    </row>
    <row r="683" spans="2:23" ht="15">
      <c r="B683" s="28"/>
      <c r="C683" s="29"/>
      <c r="D683" s="29"/>
      <c r="E683" s="30">
        <f t="shared" ref="E683:W683" si="164">SUM(E678:E682)</f>
        <v>0</v>
      </c>
      <c r="F683" s="30">
        <f t="shared" si="164"/>
        <v>0</v>
      </c>
      <c r="G683" s="30">
        <f t="shared" si="164"/>
        <v>0</v>
      </c>
      <c r="H683" s="30">
        <f t="shared" si="164"/>
        <v>0</v>
      </c>
      <c r="I683" s="30">
        <f t="shared" si="164"/>
        <v>0</v>
      </c>
      <c r="J683" s="30">
        <f t="shared" si="164"/>
        <v>0</v>
      </c>
      <c r="K683" s="30">
        <f t="shared" si="164"/>
        <v>0</v>
      </c>
      <c r="L683" s="30">
        <f t="shared" si="164"/>
        <v>0</v>
      </c>
      <c r="M683" s="30">
        <f t="shared" si="164"/>
        <v>0</v>
      </c>
      <c r="N683" s="30">
        <f t="shared" si="164"/>
        <v>0</v>
      </c>
      <c r="O683" s="30">
        <f t="shared" si="164"/>
        <v>0</v>
      </c>
      <c r="P683" s="30">
        <f t="shared" si="164"/>
        <v>2233000</v>
      </c>
      <c r="Q683" s="30">
        <f t="shared" si="164"/>
        <v>1936320</v>
      </c>
      <c r="R683" s="30">
        <f t="shared" si="164"/>
        <v>2310000</v>
      </c>
      <c r="S683" s="30">
        <f t="shared" si="164"/>
        <v>2323584.0000000005</v>
      </c>
      <c r="T683" s="30">
        <f t="shared" si="164"/>
        <v>2324000</v>
      </c>
      <c r="U683" s="30">
        <f t="shared" si="164"/>
        <v>2310000</v>
      </c>
      <c r="V683" s="112">
        <f t="shared" si="164"/>
        <v>0</v>
      </c>
      <c r="W683" s="112">
        <f t="shared" si="164"/>
        <v>0</v>
      </c>
    </row>
    <row r="684" spans="2:23" ht="15">
      <c r="B684" s="92">
        <v>1844000110</v>
      </c>
      <c r="C684" s="109" t="str">
        <f t="shared" si="156"/>
        <v>110</v>
      </c>
      <c r="D684" s="109" t="str">
        <f>MID(B684,2,6)</f>
        <v>844000</v>
      </c>
      <c r="E684" s="93" t="s">
        <v>616</v>
      </c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>
        <f>VLOOKUP(B:B,'[3]תשלומים 2017'!B:R,15,0)</f>
        <v>83000</v>
      </c>
      <c r="Q684" s="95">
        <f>VLOOKUP(B:B,'[3]דוח כספי 10.17 מעודכן'!A:D,4,0)</f>
        <v>67502.55</v>
      </c>
      <c r="R684" s="95">
        <f>VLOOKUP(B:B,'[3]תשלומים 2017'!B:T,17,0)</f>
        <v>90000</v>
      </c>
      <c r="S684" s="95">
        <f>Q684/9*12</f>
        <v>90003.400000000009</v>
      </c>
      <c r="T684" s="95">
        <f>VLOOKUP('פירוט תקציב 2017 ו 2018'!B684,'תשלומים 2017'!$A$2:$Q$391,17,0)</f>
        <v>90000</v>
      </c>
      <c r="U684" s="95">
        <v>90000</v>
      </c>
      <c r="V684" s="96">
        <v>0.6</v>
      </c>
      <c r="W684" s="96">
        <f>0.6+0.23</f>
        <v>0.83</v>
      </c>
    </row>
    <row r="685" spans="2:23" ht="15">
      <c r="B685" s="92">
        <v>1844000431</v>
      </c>
      <c r="C685" s="109" t="str">
        <f t="shared" si="156"/>
        <v>431</v>
      </c>
      <c r="D685" s="109" t="str">
        <f>MID(B685,2,6)</f>
        <v>844000</v>
      </c>
      <c r="E685" s="93" t="s">
        <v>617</v>
      </c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>
        <f>VLOOKUP(B:B,'[3]תשלומים 2017'!B:R,15,0)</f>
        <v>0</v>
      </c>
      <c r="Q685" s="95">
        <f>VLOOKUP(B:B,'[3]דוח כספי 10.17 מעודכן'!A:D,4,0)</f>
        <v>0</v>
      </c>
      <c r="R685" s="95">
        <f>VLOOKUP(B:B,'[3]תשלומים 2017'!B:T,17,0)</f>
        <v>0</v>
      </c>
      <c r="S685" s="95">
        <f>Q685/10*12</f>
        <v>0</v>
      </c>
      <c r="T685" s="95">
        <f>VLOOKUP('פירוט תקציב 2017 ו 2018'!B685,'תשלומים 2017'!$A$2:$Q$391,17,0)</f>
        <v>0</v>
      </c>
      <c r="U685" s="95">
        <v>0</v>
      </c>
      <c r="V685" s="110"/>
      <c r="W685" s="110"/>
    </row>
    <row r="686" spans="2:23" ht="15">
      <c r="B686" s="92">
        <v>1844000980</v>
      </c>
      <c r="C686" s="109" t="str">
        <f t="shared" si="156"/>
        <v>980</v>
      </c>
      <c r="D686" s="109" t="str">
        <f>MID(B686,2,6)</f>
        <v>844000</v>
      </c>
      <c r="E686" s="93" t="s">
        <v>618</v>
      </c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>
        <f>VLOOKUP(B:B,'[3]תשלומים 2017'!B:R,15,0)</f>
        <v>0</v>
      </c>
      <c r="Q686" s="95">
        <f>VLOOKUP(B:B,'[3]דוח כספי 10.17 מעודכן'!A:D,4,0)</f>
        <v>0</v>
      </c>
      <c r="R686" s="95">
        <f>VLOOKUP(B:B,'[3]תשלומים 2017'!B:T,17,0)</f>
        <v>0</v>
      </c>
      <c r="S686" s="95">
        <f>Q686/10*12</f>
        <v>0</v>
      </c>
      <c r="T686" s="95">
        <f>VLOOKUP('פירוט תקציב 2017 ו 2018'!B686,'תשלומים 2017'!$A$2:$Q$391,17,0)</f>
        <v>0</v>
      </c>
      <c r="U686" s="95">
        <v>0</v>
      </c>
      <c r="V686" s="110"/>
      <c r="W686" s="110"/>
    </row>
    <row r="687" spans="2:23" ht="15">
      <c r="B687" s="92">
        <v>1844410810</v>
      </c>
      <c r="C687" s="109" t="str">
        <f t="shared" si="156"/>
        <v>810</v>
      </c>
      <c r="D687" s="109" t="str">
        <f>MID(B687,2,6)</f>
        <v>844410</v>
      </c>
      <c r="E687" s="93" t="s">
        <v>294</v>
      </c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>
        <f>VLOOKUP(B:B,'[3]תשלומים 2017'!B:R,15,0)</f>
        <v>53000</v>
      </c>
      <c r="Q687" s="95">
        <f>VLOOKUP(B:B,'[3]דוח כספי 10.17 מעודכן'!A:D,4,0)</f>
        <v>49256</v>
      </c>
      <c r="R687" s="95">
        <f>VLOOKUP(B:B,'[3]תשלומים 2017'!B:T,17,0)</f>
        <v>59000</v>
      </c>
      <c r="S687" s="95">
        <f>Q687/10*12</f>
        <v>59107.200000000004</v>
      </c>
      <c r="T687" s="95">
        <f>VLOOKUP('פירוט תקציב 2017 ו 2018'!B687,'תשלומים 2017'!$A$2:$Q$391,17,0)</f>
        <v>59000</v>
      </c>
      <c r="U687" s="95">
        <v>60000</v>
      </c>
      <c r="V687" s="110"/>
      <c r="W687" s="110"/>
    </row>
    <row r="688" spans="2:23" ht="15">
      <c r="B688" s="92">
        <v>1844410840</v>
      </c>
      <c r="C688" s="109" t="str">
        <f t="shared" si="156"/>
        <v>840</v>
      </c>
      <c r="D688" s="109" t="str">
        <f>MID(B688,2,6)</f>
        <v>844410</v>
      </c>
      <c r="E688" s="93" t="s">
        <v>619</v>
      </c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>
        <f>VLOOKUP(B:B,'[3]תשלומים 2017'!B:R,15,0)</f>
        <v>98000</v>
      </c>
      <c r="Q688" s="95">
        <f>VLOOKUP(B:B,'[3]דוח כספי 10.17 מעודכן'!A:D,4,0)</f>
        <v>79353</v>
      </c>
      <c r="R688" s="95">
        <f>VLOOKUP(B:B,'[3]תשלומים 2017'!B:T,17,0)</f>
        <v>95000</v>
      </c>
      <c r="S688" s="95">
        <f>Q688/10*12</f>
        <v>95223.6</v>
      </c>
      <c r="T688" s="95">
        <f>VLOOKUP('פירוט תקציב 2017 ו 2018'!B688,'תשלומים 2017'!$A$2:$Q$391,17,0)</f>
        <v>95000</v>
      </c>
      <c r="U688" s="95">
        <v>95000</v>
      </c>
      <c r="V688" s="110"/>
      <c r="W688" s="110"/>
    </row>
    <row r="689" spans="2:23" ht="15">
      <c r="B689" s="28"/>
      <c r="C689" s="29"/>
      <c r="D689" s="29"/>
      <c r="E689" s="29" t="s">
        <v>620</v>
      </c>
      <c r="F689" s="30" t="e">
        <f>SUM(#REF!)</f>
        <v>#REF!</v>
      </c>
      <c r="G689" s="30" t="e">
        <f>SUM(#REF!)</f>
        <v>#REF!</v>
      </c>
      <c r="H689" s="30" t="e">
        <f>SUM(#REF!)</f>
        <v>#REF!</v>
      </c>
      <c r="I689" s="30" t="e">
        <f>SUM(#REF!)</f>
        <v>#REF!</v>
      </c>
      <c r="J689" s="30" t="e">
        <f>SUM(#REF!)</f>
        <v>#REF!</v>
      </c>
      <c r="K689" s="30" t="e">
        <f>SUM(#REF!)</f>
        <v>#REF!</v>
      </c>
      <c r="L689" s="30" t="e">
        <f>SUM(#REF!)</f>
        <v>#REF!</v>
      </c>
      <c r="M689" s="30" t="e">
        <f>SUM(#REF!)</f>
        <v>#REF!</v>
      </c>
      <c r="N689" s="30" t="e">
        <f>SUM(#REF!)</f>
        <v>#REF!</v>
      </c>
      <c r="O689" s="30" t="e">
        <f>SUM(#REF!)</f>
        <v>#REF!</v>
      </c>
      <c r="P689" s="30">
        <f t="shared" ref="P689:W689" si="165">SUM(P684:P688)</f>
        <v>234000</v>
      </c>
      <c r="Q689" s="30">
        <f t="shared" si="165"/>
        <v>196111.55</v>
      </c>
      <c r="R689" s="30">
        <f t="shared" si="165"/>
        <v>244000</v>
      </c>
      <c r="S689" s="30">
        <f t="shared" si="165"/>
        <v>244334.2</v>
      </c>
      <c r="T689" s="30">
        <f>SUM(T684:T688)</f>
        <v>244000</v>
      </c>
      <c r="U689" s="30">
        <f>SUM(U684:U688)</f>
        <v>245000</v>
      </c>
      <c r="V689" s="112">
        <f t="shared" si="165"/>
        <v>0.6</v>
      </c>
      <c r="W689" s="112">
        <f t="shared" si="165"/>
        <v>0.83</v>
      </c>
    </row>
    <row r="690" spans="2:23" ht="15">
      <c r="B690" s="92">
        <v>1845100840</v>
      </c>
      <c r="C690" s="109" t="str">
        <f t="shared" si="156"/>
        <v>840</v>
      </c>
      <c r="D690" s="109" t="str">
        <f t="shared" ref="D690:D696" si="166">MID(B690,2,6)</f>
        <v>845100</v>
      </c>
      <c r="E690" s="93" t="s">
        <v>297</v>
      </c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>
        <f>VLOOKUP(B:B,'[3]תשלומים 2017'!B:R,15,0)</f>
        <v>560000</v>
      </c>
      <c r="Q690" s="95">
        <f>VLOOKUP(B:B,'[3]דוח כספי 10.17 מעודכן'!A:D,4,0)</f>
        <v>597296</v>
      </c>
      <c r="R690" s="95">
        <f>VLOOKUP(B:B,'[3]תשלומים 2017'!B:T,17,0)</f>
        <v>717000</v>
      </c>
      <c r="S690" s="95">
        <f t="shared" ref="S690:S696" si="167">Q690/10*12</f>
        <v>716755.2</v>
      </c>
      <c r="T690" s="95">
        <f>VLOOKUP('פירוט תקציב 2017 ו 2018'!B690,'תשלומים 2017'!$A$2:$Q$391,17,0)</f>
        <v>717000</v>
      </c>
      <c r="U690" s="95">
        <v>717000</v>
      </c>
      <c r="V690" s="110"/>
      <c r="W690" s="110"/>
    </row>
    <row r="691" spans="2:23" ht="15">
      <c r="B691" s="92">
        <v>1845110840</v>
      </c>
      <c r="C691" s="109" t="str">
        <f t="shared" si="156"/>
        <v>840</v>
      </c>
      <c r="D691" s="109" t="str">
        <f t="shared" si="166"/>
        <v>845110</v>
      </c>
      <c r="E691" s="93" t="s">
        <v>621</v>
      </c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>
        <f>VLOOKUP(B:B,'[3]תשלומים 2017'!B:R,15,0)</f>
        <v>736000</v>
      </c>
      <c r="Q691" s="95">
        <f>VLOOKUP(B:B,'[3]דוח כספי 10.17 מעודכן'!A:D,4,0)</f>
        <v>551862</v>
      </c>
      <c r="R691" s="95">
        <f>VLOOKUP(B:B,'[3]תשלומים 2017'!B:T,17,0)</f>
        <v>662000</v>
      </c>
      <c r="S691" s="95">
        <f t="shared" si="167"/>
        <v>662234.39999999991</v>
      </c>
      <c r="T691" s="95">
        <f>VLOOKUP('פירוט תקציב 2017 ו 2018'!B691,'תשלומים 2017'!$A$2:$Q$391,17,0)</f>
        <v>662000</v>
      </c>
      <c r="U691" s="95">
        <v>663000</v>
      </c>
      <c r="V691" s="110"/>
      <c r="W691" s="110"/>
    </row>
    <row r="692" spans="2:23" ht="15">
      <c r="B692" s="92">
        <v>1845120840</v>
      </c>
      <c r="C692" s="109" t="str">
        <f t="shared" si="156"/>
        <v>840</v>
      </c>
      <c r="D692" s="109" t="str">
        <f t="shared" si="166"/>
        <v>845120</v>
      </c>
      <c r="E692" s="93" t="s">
        <v>622</v>
      </c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>
        <f>VLOOKUP(B:B,'[3]תשלומים 2017'!B:R,15,0)</f>
        <v>612000</v>
      </c>
      <c r="Q692" s="95">
        <f>VLOOKUP(B:B,'[3]דוח כספי 10.17 מעודכן'!A:D,4,0)</f>
        <v>552647</v>
      </c>
      <c r="R692" s="95">
        <f>VLOOKUP(B:B,'[3]תשלומים 2017'!B:T,17,0)</f>
        <v>663000</v>
      </c>
      <c r="S692" s="95">
        <f t="shared" si="167"/>
        <v>663176.39999999991</v>
      </c>
      <c r="T692" s="95">
        <f>VLOOKUP('פירוט תקציב 2017 ו 2018'!B692,'תשלומים 2017'!$A$2:$Q$391,17,0)</f>
        <v>663000</v>
      </c>
      <c r="U692" s="95">
        <v>664000</v>
      </c>
      <c r="V692" s="110"/>
      <c r="W692" s="110"/>
    </row>
    <row r="693" spans="2:23" ht="15">
      <c r="B693" s="92">
        <v>1845200840</v>
      </c>
      <c r="C693" s="109" t="str">
        <f t="shared" si="156"/>
        <v>840</v>
      </c>
      <c r="D693" s="109" t="str">
        <f t="shared" si="166"/>
        <v>845200</v>
      </c>
      <c r="E693" s="93" t="s">
        <v>623</v>
      </c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>
        <f>VLOOKUP(B:B,'[3]תשלומים 2017'!B:R,15,0)</f>
        <v>94000</v>
      </c>
      <c r="Q693" s="95">
        <f>VLOOKUP(B:B,'[3]דוח כספי 10.17 מעודכן'!A:D,4,0)</f>
        <v>50232</v>
      </c>
      <c r="R693" s="95">
        <f>VLOOKUP(B:B,'[3]תשלומים 2017'!B:T,17,0)</f>
        <v>60000</v>
      </c>
      <c r="S693" s="95">
        <f t="shared" si="167"/>
        <v>60278.399999999994</v>
      </c>
      <c r="T693" s="95">
        <f>VLOOKUP('פירוט תקציב 2017 ו 2018'!B693,'תשלומים 2017'!$A$2:$Q$391,17,0)</f>
        <v>60000</v>
      </c>
      <c r="U693" s="95">
        <v>61000</v>
      </c>
      <c r="V693" s="110"/>
      <c r="W693" s="110"/>
    </row>
    <row r="694" spans="2:23" ht="15">
      <c r="B694" s="92">
        <v>1845210840</v>
      </c>
      <c r="C694" s="109" t="str">
        <f t="shared" si="156"/>
        <v>840</v>
      </c>
      <c r="D694" s="109" t="str">
        <f t="shared" si="166"/>
        <v>845210</v>
      </c>
      <c r="E694" s="93" t="s">
        <v>624</v>
      </c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>
        <f>VLOOKUP(B:B,'[3]תשלומים 2017'!B:R,15,0)</f>
        <v>0</v>
      </c>
      <c r="Q694" s="95">
        <f>VLOOKUP(B:B,'[3]דוח כספי 10.17 מעודכן'!A:D,4,0)</f>
        <v>0</v>
      </c>
      <c r="R694" s="95">
        <f>VLOOKUP(B:B,'[3]תשלומים 2017'!B:T,17,0)</f>
        <v>0</v>
      </c>
      <c r="S694" s="95">
        <f t="shared" si="167"/>
        <v>0</v>
      </c>
      <c r="T694" s="95">
        <f>VLOOKUP('פירוט תקציב 2017 ו 2018'!B694,'תשלומים 2017'!$A$2:$Q$391,17,0)</f>
        <v>0</v>
      </c>
      <c r="U694" s="95">
        <v>0</v>
      </c>
      <c r="V694" s="110"/>
      <c r="W694" s="110"/>
    </row>
    <row r="695" spans="2:23" ht="15">
      <c r="B695" s="92">
        <v>1845300840</v>
      </c>
      <c r="C695" s="109" t="str">
        <f t="shared" si="156"/>
        <v>840</v>
      </c>
      <c r="D695" s="109" t="str">
        <f t="shared" si="166"/>
        <v>845300</v>
      </c>
      <c r="E695" s="93" t="s">
        <v>301</v>
      </c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>
        <f>VLOOKUP(B:B,'[3]תשלומים 2017'!B:R,15,0)</f>
        <v>0</v>
      </c>
      <c r="Q695" s="95">
        <f>VLOOKUP(B:B,'[3]דוח כספי 10.17 מעודכן'!A:D,4,0)</f>
        <v>3550</v>
      </c>
      <c r="R695" s="95">
        <f>VLOOKUP(B:B,'[3]תשלומים 2017'!B:T,17,0)</f>
        <v>4000</v>
      </c>
      <c r="S695" s="95">
        <f t="shared" si="167"/>
        <v>4260</v>
      </c>
      <c r="T695" s="95">
        <f>VLOOKUP('פירוט תקציב 2017 ו 2018'!B695,'תשלומים 2017'!$A$2:$Q$391,17,0)</f>
        <v>4000</v>
      </c>
      <c r="U695" s="95">
        <v>4500</v>
      </c>
      <c r="V695" s="110"/>
      <c r="W695" s="110"/>
    </row>
    <row r="696" spans="2:23" ht="15">
      <c r="B696" s="92">
        <v>1845500840</v>
      </c>
      <c r="C696" s="109" t="str">
        <f t="shared" si="156"/>
        <v>840</v>
      </c>
      <c r="D696" s="109" t="str">
        <f t="shared" si="166"/>
        <v>845500</v>
      </c>
      <c r="E696" s="93" t="s">
        <v>269</v>
      </c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>
        <f>VLOOKUP(B:B,'[3]תשלומים 2017'!B:R,15,0)</f>
        <v>122000</v>
      </c>
      <c r="Q696" s="95">
        <f>VLOOKUP(B:B,'[3]דוח כספי 10.17 מעודכן'!A:D,4,0)</f>
        <v>85401</v>
      </c>
      <c r="R696" s="95">
        <f>VLOOKUP(B:B,'[3]תשלומים 2017'!B:T,17,0)</f>
        <v>103000</v>
      </c>
      <c r="S696" s="95">
        <f t="shared" si="167"/>
        <v>102481.20000000001</v>
      </c>
      <c r="T696" s="95">
        <f>VLOOKUP('פירוט תקציב 2017 ו 2018'!B696,'תשלומים 2017'!$A$2:$Q$391,17,0)</f>
        <v>103000</v>
      </c>
      <c r="U696" s="95">
        <v>103000</v>
      </c>
      <c r="V696" s="110"/>
      <c r="W696" s="110"/>
    </row>
    <row r="697" spans="2:23" ht="15">
      <c r="B697" s="28"/>
      <c r="C697" s="29"/>
      <c r="D697" s="29"/>
      <c r="E697" s="29" t="s">
        <v>625</v>
      </c>
      <c r="F697" s="30" t="e">
        <f>SUM(#REF!)</f>
        <v>#REF!</v>
      </c>
      <c r="G697" s="30" t="e">
        <f>SUM(#REF!)</f>
        <v>#REF!</v>
      </c>
      <c r="H697" s="30" t="e">
        <f>SUM(#REF!)</f>
        <v>#REF!</v>
      </c>
      <c r="I697" s="30" t="e">
        <f>SUM(#REF!)</f>
        <v>#REF!</v>
      </c>
      <c r="J697" s="30" t="e">
        <f>SUM(#REF!)</f>
        <v>#REF!</v>
      </c>
      <c r="K697" s="30" t="e">
        <f>SUM(#REF!)</f>
        <v>#REF!</v>
      </c>
      <c r="L697" s="30" t="e">
        <f>SUM(#REF!)</f>
        <v>#REF!</v>
      </c>
      <c r="M697" s="30" t="e">
        <f>SUM(#REF!)</f>
        <v>#REF!</v>
      </c>
      <c r="N697" s="30" t="e">
        <f>SUM(#REF!)</f>
        <v>#REF!</v>
      </c>
      <c r="O697" s="30" t="e">
        <f>SUM(#REF!)</f>
        <v>#REF!</v>
      </c>
      <c r="P697" s="30">
        <f t="shared" ref="P697:S697" si="168">SUM(P690:P696)</f>
        <v>2124000</v>
      </c>
      <c r="Q697" s="30">
        <f t="shared" si="168"/>
        <v>1840988</v>
      </c>
      <c r="R697" s="30">
        <f t="shared" si="168"/>
        <v>2209000</v>
      </c>
      <c r="S697" s="30">
        <f t="shared" si="168"/>
        <v>2209185.6</v>
      </c>
      <c r="T697" s="30">
        <f>SUM(T690:T696)</f>
        <v>2209000</v>
      </c>
      <c r="U697" s="30">
        <f>SUM(U690:U696)</f>
        <v>2212500</v>
      </c>
      <c r="V697" s="112">
        <f t="shared" ref="V697:W697" si="169">SUM(V690:V696)</f>
        <v>0</v>
      </c>
      <c r="W697" s="112">
        <f t="shared" si="169"/>
        <v>0</v>
      </c>
    </row>
    <row r="698" spans="2:23" ht="15">
      <c r="B698" s="92">
        <v>1846300840</v>
      </c>
      <c r="C698" s="109" t="str">
        <f t="shared" si="156"/>
        <v>840</v>
      </c>
      <c r="D698" s="109" t="str">
        <f t="shared" ref="D698:D705" si="170">MID(B698,2,6)</f>
        <v>846300</v>
      </c>
      <c r="E698" s="93" t="s">
        <v>626</v>
      </c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>
        <f>VLOOKUP(B:B,'[3]תשלומים 2017'!B:R,15,0)</f>
        <v>13000</v>
      </c>
      <c r="Q698" s="95">
        <f>VLOOKUP(B:B,'[3]דוח כספי 10.17 מעודכן'!A:D,4,0)</f>
        <v>10714</v>
      </c>
      <c r="R698" s="95">
        <f>VLOOKUP(B:B,'[3]תשלומים 2017'!B:T,17,0)</f>
        <v>13000</v>
      </c>
      <c r="S698" s="95">
        <f t="shared" ref="S698:S705" si="171">Q698/10*12</f>
        <v>12856.800000000001</v>
      </c>
      <c r="T698" s="95">
        <f>VLOOKUP('פירוט תקציב 2017 ו 2018'!B698,'תשלומים 2017'!$A$2:$Q$391,17,0)</f>
        <v>13000</v>
      </c>
      <c r="U698" s="95">
        <v>13000</v>
      </c>
      <c r="V698" s="110"/>
      <c r="W698" s="110"/>
    </row>
    <row r="699" spans="2:23" ht="15">
      <c r="B699" s="92">
        <v>1846310840</v>
      </c>
      <c r="C699" s="109" t="str">
        <f t="shared" si="156"/>
        <v>840</v>
      </c>
      <c r="D699" s="109" t="str">
        <f t="shared" si="170"/>
        <v>846310</v>
      </c>
      <c r="E699" s="93" t="s">
        <v>627</v>
      </c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>
        <f>VLOOKUP(B:B,'[3]תשלומים 2017'!B:R,15,0)</f>
        <v>0</v>
      </c>
      <c r="Q699" s="95">
        <f>VLOOKUP(B:B,'[3]דוח כספי 10.17 מעודכן'!A:D,4,0)</f>
        <v>0</v>
      </c>
      <c r="R699" s="95">
        <f>VLOOKUP(B:B,'[3]תשלומים 2017'!B:T,17,0)</f>
        <v>0</v>
      </c>
      <c r="S699" s="95">
        <f t="shared" si="171"/>
        <v>0</v>
      </c>
      <c r="T699" s="95">
        <f>VLOOKUP('פירוט תקציב 2017 ו 2018'!B699,'תשלומים 2017'!$A$2:$Q$391,17,0)</f>
        <v>0</v>
      </c>
      <c r="U699" s="95">
        <v>0</v>
      </c>
      <c r="V699" s="110"/>
      <c r="W699" s="110"/>
    </row>
    <row r="700" spans="2:23" ht="15">
      <c r="B700" s="92">
        <v>1846350840</v>
      </c>
      <c r="C700" s="109" t="str">
        <f t="shared" si="156"/>
        <v>840</v>
      </c>
      <c r="D700" s="109" t="str">
        <f t="shared" si="170"/>
        <v>846350</v>
      </c>
      <c r="E700" s="93" t="s">
        <v>628</v>
      </c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>
        <f>VLOOKUP(B:B,'[3]תשלומים 2017'!B:R,15,0)</f>
        <v>0</v>
      </c>
      <c r="Q700" s="95">
        <f>VLOOKUP(B:B,'[3]דוח כספי 10.17 מעודכן'!A:D,4,0)</f>
        <v>0</v>
      </c>
      <c r="R700" s="95">
        <f>VLOOKUP(B:B,'[3]תשלומים 2017'!B:T,17,0)</f>
        <v>0</v>
      </c>
      <c r="S700" s="95">
        <f t="shared" si="171"/>
        <v>0</v>
      </c>
      <c r="T700" s="95">
        <f>VLOOKUP('פירוט תקציב 2017 ו 2018'!B700,'תשלומים 2017'!$A$2:$Q$391,17,0)</f>
        <v>0</v>
      </c>
      <c r="U700" s="95">
        <v>0</v>
      </c>
      <c r="V700" s="110"/>
      <c r="W700" s="110"/>
    </row>
    <row r="701" spans="2:23" ht="15">
      <c r="B701" s="92">
        <v>1846600840</v>
      </c>
      <c r="C701" s="109" t="str">
        <f t="shared" si="156"/>
        <v>840</v>
      </c>
      <c r="D701" s="109" t="str">
        <f t="shared" si="170"/>
        <v>846600</v>
      </c>
      <c r="E701" s="93" t="s">
        <v>629</v>
      </c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>
        <f>VLOOKUP(B:B,'[3]תשלומים 2017'!B:R,15,0)</f>
        <v>0</v>
      </c>
      <c r="Q701" s="95">
        <f>VLOOKUP(B:B,'[3]דוח כספי 10.17 מעודכן'!A:D,4,0)</f>
        <v>27181</v>
      </c>
      <c r="R701" s="95">
        <f>VLOOKUP(B:B,'[3]תשלומים 2017'!B:T,17,0)</f>
        <v>33000</v>
      </c>
      <c r="S701" s="95">
        <f t="shared" si="171"/>
        <v>32617.199999999997</v>
      </c>
      <c r="T701" s="95">
        <f>VLOOKUP('פירוט תקציב 2017 ו 2018'!B701,'תשלומים 2017'!$A$2:$Q$391,17,0)</f>
        <v>33000</v>
      </c>
      <c r="U701" s="95">
        <v>33000</v>
      </c>
      <c r="V701" s="110"/>
      <c r="W701" s="110"/>
    </row>
    <row r="702" spans="2:23" ht="15">
      <c r="B702" s="92">
        <v>1846610810</v>
      </c>
      <c r="C702" s="109" t="str">
        <f t="shared" si="156"/>
        <v>810</v>
      </c>
      <c r="D702" s="109" t="str">
        <f t="shared" si="170"/>
        <v>846610</v>
      </c>
      <c r="E702" s="93" t="s">
        <v>630</v>
      </c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>
        <f>VLOOKUP(B:B,'[3]תשלומים 2017'!B:R,15,0)</f>
        <v>100000</v>
      </c>
      <c r="Q702" s="95">
        <f>VLOOKUP(B:B,'[3]דוח כספי 10.17 מעודכן'!A:D,4,0)</f>
        <v>80924</v>
      </c>
      <c r="R702" s="95">
        <f>VLOOKUP(B:B,'[3]תשלומים 2017'!B:T,17,0)</f>
        <v>97000</v>
      </c>
      <c r="S702" s="95">
        <f t="shared" si="171"/>
        <v>97108.799999999988</v>
      </c>
      <c r="T702" s="95">
        <f>VLOOKUP('פירוט תקציב 2017 ו 2018'!B702,'תשלומים 2017'!$A$2:$Q$391,17,0)</f>
        <v>97000</v>
      </c>
      <c r="U702" s="95">
        <v>97000</v>
      </c>
      <c r="V702" s="110"/>
      <c r="W702" s="110"/>
    </row>
    <row r="703" spans="2:23" ht="15">
      <c r="B703" s="92">
        <v>1846610840</v>
      </c>
      <c r="C703" s="109" t="str">
        <f t="shared" si="156"/>
        <v>840</v>
      </c>
      <c r="D703" s="109" t="str">
        <f t="shared" si="170"/>
        <v>846610</v>
      </c>
      <c r="E703" s="93" t="s">
        <v>631</v>
      </c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>
        <f>VLOOKUP(B:B,'[3]תשלומים 2017'!B:R,15,0)</f>
        <v>0</v>
      </c>
      <c r="Q703" s="95">
        <f>VLOOKUP(B:B,'[3]דוח כספי 10.17 מעודכן'!A:D,4,0)</f>
        <v>13026</v>
      </c>
      <c r="R703" s="95">
        <f>VLOOKUP(B:B,'[3]תשלומים 2017'!B:T,17,0)</f>
        <v>16000</v>
      </c>
      <c r="S703" s="95">
        <f t="shared" si="171"/>
        <v>15631.199999999999</v>
      </c>
      <c r="T703" s="95">
        <f>VLOOKUP('פירוט תקציב 2017 ו 2018'!B703,'תשלומים 2017'!$A$2:$Q$391,17,0)</f>
        <v>16000</v>
      </c>
      <c r="U703" s="95">
        <v>16000</v>
      </c>
      <c r="V703" s="110"/>
      <c r="W703" s="110"/>
    </row>
    <row r="704" spans="2:23" ht="15">
      <c r="B704" s="92">
        <v>1846800810</v>
      </c>
      <c r="C704" s="109" t="str">
        <f t="shared" si="156"/>
        <v>810</v>
      </c>
      <c r="D704" s="109" t="str">
        <f t="shared" si="170"/>
        <v>846800</v>
      </c>
      <c r="E704" s="93" t="s">
        <v>315</v>
      </c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>
        <f>VLOOKUP(B:B,'[3]תשלומים 2017'!B:R,15,0)</f>
        <v>17000</v>
      </c>
      <c r="Q704" s="95">
        <f>VLOOKUP(B:B,'[3]דוח כספי 10.17 מעודכן'!A:D,4,0)</f>
        <v>48160</v>
      </c>
      <c r="R704" s="95">
        <f>VLOOKUP(B:B,'[3]תשלומים 2017'!B:T,17,0)</f>
        <v>58000</v>
      </c>
      <c r="S704" s="95">
        <f t="shared" si="171"/>
        <v>57792</v>
      </c>
      <c r="T704" s="95">
        <f>VLOOKUP('פירוט תקציב 2017 ו 2018'!B704,'תשלומים 2017'!$A$2:$Q$391,17,0)</f>
        <v>58000</v>
      </c>
      <c r="U704" s="95">
        <v>58000</v>
      </c>
      <c r="V704" s="110"/>
      <c r="W704" s="110"/>
    </row>
    <row r="705" spans="2:23" ht="15">
      <c r="B705" s="92">
        <v>1846800840</v>
      </c>
      <c r="C705" s="109" t="str">
        <f t="shared" si="156"/>
        <v>840</v>
      </c>
      <c r="D705" s="109" t="str">
        <f t="shared" si="170"/>
        <v>846800</v>
      </c>
      <c r="E705" s="93" t="s">
        <v>632</v>
      </c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>
        <f>VLOOKUP(B:B,'[3]תשלומים 2017'!B:R,15,0)</f>
        <v>217000</v>
      </c>
      <c r="Q705" s="95">
        <f>VLOOKUP(B:B,'[3]דוח כספי 10.17 מעודכן'!A:D,4,0)</f>
        <v>253325</v>
      </c>
      <c r="R705" s="95">
        <f>VLOOKUP(B:B,'[3]תשלומים 2017'!B:T,17,0)</f>
        <v>304000</v>
      </c>
      <c r="S705" s="95">
        <f t="shared" si="171"/>
        <v>303990</v>
      </c>
      <c r="T705" s="95">
        <f>VLOOKUP('פירוט תקציב 2017 ו 2018'!B705,'תשלומים 2017'!$A$2:$Q$391,17,0)</f>
        <v>304000</v>
      </c>
      <c r="U705" s="95">
        <v>304000</v>
      </c>
      <c r="V705" s="110"/>
      <c r="W705" s="110"/>
    </row>
    <row r="706" spans="2:23" ht="15">
      <c r="B706" s="28"/>
      <c r="C706" s="29"/>
      <c r="D706" s="29"/>
      <c r="E706" s="29" t="s">
        <v>633</v>
      </c>
      <c r="F706" s="30" t="e">
        <f>SUM(#REF!)</f>
        <v>#REF!</v>
      </c>
      <c r="G706" s="30" t="e">
        <f>SUM(#REF!)</f>
        <v>#REF!</v>
      </c>
      <c r="H706" s="30" t="e">
        <f>SUM(#REF!)</f>
        <v>#REF!</v>
      </c>
      <c r="I706" s="30" t="e">
        <f>SUM(#REF!)</f>
        <v>#REF!</v>
      </c>
      <c r="J706" s="30" t="e">
        <f>SUM(#REF!)</f>
        <v>#REF!</v>
      </c>
      <c r="K706" s="30" t="e">
        <f>SUM(#REF!)</f>
        <v>#REF!</v>
      </c>
      <c r="L706" s="30" t="e">
        <f>SUM(#REF!)</f>
        <v>#REF!</v>
      </c>
      <c r="M706" s="30" t="e">
        <f>SUM(#REF!)</f>
        <v>#REF!</v>
      </c>
      <c r="N706" s="30" t="e">
        <f>SUM(#REF!)</f>
        <v>#REF!</v>
      </c>
      <c r="O706" s="30" t="e">
        <f>SUM(#REF!)</f>
        <v>#REF!</v>
      </c>
      <c r="P706" s="30">
        <f t="shared" ref="P706:W706" si="172">SUM(P698:P705)</f>
        <v>347000</v>
      </c>
      <c r="Q706" s="30">
        <f t="shared" si="172"/>
        <v>433330</v>
      </c>
      <c r="R706" s="30">
        <f t="shared" si="172"/>
        <v>521000</v>
      </c>
      <c r="S706" s="30">
        <f t="shared" si="172"/>
        <v>519996</v>
      </c>
      <c r="T706" s="30">
        <f>SUM(T698:T705)</f>
        <v>521000</v>
      </c>
      <c r="U706" s="30">
        <f>SUM(U698:U705)</f>
        <v>521000</v>
      </c>
      <c r="V706" s="112">
        <f t="shared" si="172"/>
        <v>0</v>
      </c>
      <c r="W706" s="112">
        <f t="shared" si="172"/>
        <v>0</v>
      </c>
    </row>
    <row r="707" spans="2:23" ht="15">
      <c r="B707" s="32"/>
      <c r="C707" s="33"/>
      <c r="D707" s="33"/>
      <c r="E707" s="33" t="s">
        <v>324</v>
      </c>
      <c r="F707" s="34" t="e">
        <f>#REF!+F706+F697+F689+F683+F677+F664</f>
        <v>#REF!</v>
      </c>
      <c r="G707" s="34" t="e">
        <f>#REF!+G706+G697+G689+G683+G677+G664</f>
        <v>#REF!</v>
      </c>
      <c r="H707" s="34" t="e">
        <f>#REF!+H706+H697+H689+H683+H677+H664</f>
        <v>#REF!</v>
      </c>
      <c r="I707" s="34" t="e">
        <f>#REF!+I706+I697+I689+I683+I677+I664</f>
        <v>#REF!</v>
      </c>
      <c r="J707" s="34" t="e">
        <f>#REF!+J706+J697+J689+J683+J677+J664</f>
        <v>#REF!</v>
      </c>
      <c r="K707" s="34" t="e">
        <f>#REF!+K706+K697+K689+K683+K677+K664</f>
        <v>#REF!</v>
      </c>
      <c r="L707" s="34" t="e">
        <f>#REF!+L706+L697+L689+L683+L677+L664</f>
        <v>#REF!</v>
      </c>
      <c r="M707" s="34" t="e">
        <f>#REF!+M706+M697+M689+M683+M677+M664</f>
        <v>#REF!</v>
      </c>
      <c r="N707" s="34" t="e">
        <f>#REF!+N706+N697+N689+N683+N677+N664</f>
        <v>#REF!</v>
      </c>
      <c r="O707" s="34" t="e">
        <f>#REF!+O706+O697+O689+O683+O677+O664</f>
        <v>#REF!</v>
      </c>
      <c r="P707" s="34">
        <f t="shared" ref="P707:S707" si="173">P706+P697+P689+P683+P677+P664</f>
        <v>7862000</v>
      </c>
      <c r="Q707" s="34">
        <f t="shared" si="173"/>
        <v>6940723.6999999993</v>
      </c>
      <c r="R707" s="34">
        <f t="shared" si="173"/>
        <v>8625000</v>
      </c>
      <c r="S707" s="34">
        <f t="shared" si="173"/>
        <v>8532854.0080000013</v>
      </c>
      <c r="T707" s="34">
        <f>T706+T697+T689+T683+T677+T664</f>
        <v>8689000</v>
      </c>
      <c r="U707" s="34">
        <f>U706+U697+U689+U683+U677+U664</f>
        <v>8643000</v>
      </c>
      <c r="V707" s="123">
        <f t="shared" ref="V707:W707" si="174">V706+V697+V689+V683+V677+V664</f>
        <v>11.85</v>
      </c>
      <c r="W707" s="123">
        <f t="shared" si="174"/>
        <v>12.08</v>
      </c>
    </row>
    <row r="708" spans="2:23" ht="15">
      <c r="B708" s="135"/>
      <c r="C708" s="87" t="s">
        <v>634</v>
      </c>
      <c r="D708" s="87"/>
      <c r="E708" s="87"/>
      <c r="F708" s="87"/>
      <c r="G708" s="87"/>
      <c r="H708" s="87"/>
      <c r="I708" s="88"/>
      <c r="J708" s="95"/>
      <c r="K708" s="124"/>
      <c r="L708" s="124"/>
      <c r="M708" s="124"/>
      <c r="N708" s="124"/>
      <c r="O708" s="95"/>
      <c r="P708" s="95"/>
      <c r="Q708" s="95"/>
      <c r="R708" s="95"/>
      <c r="S708" s="95"/>
      <c r="T708" s="124"/>
      <c r="U708" s="124"/>
      <c r="V708" s="89"/>
      <c r="W708" s="89"/>
    </row>
    <row r="709" spans="2:23" ht="15">
      <c r="B709" s="92">
        <v>1850000431</v>
      </c>
      <c r="C709" s="109" t="str">
        <f>MID(B709,8,3)</f>
        <v>431</v>
      </c>
      <c r="D709" s="109" t="str">
        <f>MID(B709,2,6)</f>
        <v>850000</v>
      </c>
      <c r="E709" s="93" t="s">
        <v>635</v>
      </c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>
        <f>VLOOKUP(B:B,'[3]תשלומים 2017'!B:R,15,0)</f>
        <v>96000</v>
      </c>
      <c r="Q709" s="95">
        <f>VLOOKUP(B:B,'[3]דוח כספי 10.17 מעודכן'!A:D,4,0)</f>
        <v>61587.82</v>
      </c>
      <c r="R709" s="95">
        <f>VLOOKUP(B:B,'[3]תשלומים 2017'!B:T,17,0)</f>
        <v>74000</v>
      </c>
      <c r="S709" s="95">
        <f>Q709/10*12</f>
        <v>73905.384000000005</v>
      </c>
      <c r="T709" s="95">
        <f>VLOOKUP('פירוט תקציב 2017 ו 2018'!B709,'תשלומים 2017'!$A$2:$Q$391,17,0)</f>
        <v>74000</v>
      </c>
      <c r="U709" s="95">
        <v>74000</v>
      </c>
      <c r="V709" s="110"/>
      <c r="W709" s="110"/>
    </row>
    <row r="710" spans="2:23" ht="15">
      <c r="B710" s="100">
        <v>1853000432</v>
      </c>
      <c r="C710" s="101" t="str">
        <f>MID(B710,8,3)</f>
        <v>432</v>
      </c>
      <c r="D710" s="101" t="str">
        <f>MID(B710,2,6)</f>
        <v>853000</v>
      </c>
      <c r="E710" s="102" t="s">
        <v>636</v>
      </c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>
        <f>VLOOKUP(B:B,'[3]תשלומים 2017'!B:R,15,0)</f>
        <v>38000</v>
      </c>
      <c r="Q710" s="103">
        <f>VLOOKUP(B:B,'[3]דוח כספי 10.17 מעודכן'!A:D,4,0)</f>
        <v>45622.7</v>
      </c>
      <c r="R710" s="103">
        <f>VLOOKUP(B:B,'[3]תשלומים 2017'!B:T,17,0)</f>
        <v>46000</v>
      </c>
      <c r="S710" s="103">
        <f>Q710/10*12</f>
        <v>54747.239999999991</v>
      </c>
      <c r="T710" s="95">
        <f>VLOOKUP('פירוט תקציב 2017 ו 2018'!B710,'תשלומים 2017'!$A$2:$Q$391,17,0)</f>
        <v>46000</v>
      </c>
      <c r="U710" s="103">
        <v>46000</v>
      </c>
      <c r="V710" s="104"/>
      <c r="W710" s="104"/>
    </row>
    <row r="711" spans="2:23" ht="15">
      <c r="B711" s="92">
        <v>1853000750</v>
      </c>
      <c r="C711" s="109" t="str">
        <f>MID(B711,8,3)</f>
        <v>750</v>
      </c>
      <c r="D711" s="109" t="str">
        <f>MID(B711,2,6)</f>
        <v>853000</v>
      </c>
      <c r="E711" s="93" t="s">
        <v>637</v>
      </c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>
        <f>VLOOKUP(B:B,'[3]תשלומים 2017'!B:R,15,0)</f>
        <v>0</v>
      </c>
      <c r="Q711" s="95">
        <f>VLOOKUP(B:B,'[3]דוח כספי 10.17 מעודכן'!A:D,4,0)</f>
        <v>0</v>
      </c>
      <c r="R711" s="95">
        <f>VLOOKUP(B:B,'[3]תשלומים 2017'!B:T,17,0)</f>
        <v>0</v>
      </c>
      <c r="S711" s="95">
        <f>Q711/10*12</f>
        <v>0</v>
      </c>
      <c r="T711" s="95">
        <f>VLOOKUP('פירוט תקציב 2017 ו 2018'!B711,'תשלומים 2017'!$A$2:$Q$391,17,0)</f>
        <v>0</v>
      </c>
      <c r="U711" s="95">
        <v>0</v>
      </c>
      <c r="V711" s="110"/>
      <c r="W711" s="110"/>
    </row>
    <row r="712" spans="2:23" ht="15">
      <c r="B712" s="92">
        <v>1853000810</v>
      </c>
      <c r="C712" s="109" t="str">
        <f>MID(B712,8,3)</f>
        <v>810</v>
      </c>
      <c r="D712" s="109" t="str">
        <f>MID(B712,2,6)</f>
        <v>853000</v>
      </c>
      <c r="E712" s="93" t="s">
        <v>638</v>
      </c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>
        <f>VLOOKUP(B:B,'[3]תשלומים 2017'!B:R,15,0)</f>
        <v>3000</v>
      </c>
      <c r="Q712" s="95">
        <f>VLOOKUP(B:B,'[3]דוח כספי 10.17 מעודכן'!A:D,4,0)</f>
        <v>0</v>
      </c>
      <c r="R712" s="95">
        <f>VLOOKUP(B:B,'[3]תשלומים 2017'!B:T,17,0)</f>
        <v>0</v>
      </c>
      <c r="S712" s="95">
        <f>Q712/10*12</f>
        <v>0</v>
      </c>
      <c r="T712" s="95">
        <f>VLOOKUP('פירוט תקציב 2017 ו 2018'!B712,'תשלומים 2017'!$A$2:$Q$391,17,0)</f>
        <v>0</v>
      </c>
      <c r="U712" s="95">
        <v>0</v>
      </c>
      <c r="V712" s="110"/>
      <c r="W712" s="110"/>
    </row>
    <row r="713" spans="2:23" ht="15">
      <c r="B713" s="92">
        <v>1853000820</v>
      </c>
      <c r="C713" s="109" t="str">
        <f>MID(B713,8,3)</f>
        <v>820</v>
      </c>
      <c r="D713" s="109" t="str">
        <f>MID(B713,2,6)</f>
        <v>853000</v>
      </c>
      <c r="E713" s="93" t="s">
        <v>639</v>
      </c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>
        <f>VLOOKUP(B:B,'[3]תשלומים 2017'!B:R,15,0)</f>
        <v>0</v>
      </c>
      <c r="Q713" s="95">
        <f>VLOOKUP(B:B,'[3]דוח כספי 10.17 מעודכן'!A:D,4,0)</f>
        <v>0</v>
      </c>
      <c r="R713" s="95">
        <f>VLOOKUP(B:B,'[3]תשלומים 2017'!B:T,17,0)</f>
        <v>0</v>
      </c>
      <c r="S713" s="95">
        <f>Q713/10*12</f>
        <v>0</v>
      </c>
      <c r="T713" s="95">
        <f>VLOOKUP('פירוט תקציב 2017 ו 2018'!B713,'תשלומים 2017'!$A$2:$Q$391,17,0)</f>
        <v>0</v>
      </c>
      <c r="U713" s="95">
        <v>0</v>
      </c>
      <c r="V713" s="110"/>
      <c r="W713" s="110"/>
    </row>
    <row r="714" spans="2:23" ht="15">
      <c r="B714" s="32"/>
      <c r="C714" s="33"/>
      <c r="D714" s="33"/>
      <c r="E714" s="33" t="s">
        <v>640</v>
      </c>
      <c r="F714" s="34">
        <f t="shared" ref="F714:W714" si="175">SUM(F713:F713)</f>
        <v>0</v>
      </c>
      <c r="G714" s="34">
        <f t="shared" si="175"/>
        <v>0</v>
      </c>
      <c r="H714" s="34">
        <f t="shared" si="175"/>
        <v>0</v>
      </c>
      <c r="I714" s="34">
        <f t="shared" si="175"/>
        <v>0</v>
      </c>
      <c r="J714" s="34">
        <f t="shared" si="175"/>
        <v>0</v>
      </c>
      <c r="K714" s="34">
        <f t="shared" si="175"/>
        <v>0</v>
      </c>
      <c r="L714" s="34">
        <f t="shared" si="175"/>
        <v>0</v>
      </c>
      <c r="M714" s="34">
        <f t="shared" si="175"/>
        <v>0</v>
      </c>
      <c r="N714" s="34">
        <f t="shared" si="175"/>
        <v>0</v>
      </c>
      <c r="O714" s="34">
        <f t="shared" si="175"/>
        <v>0</v>
      </c>
      <c r="P714" s="34">
        <f t="shared" ref="P714:S714" si="176">SUM(P709:P713)</f>
        <v>137000</v>
      </c>
      <c r="Q714" s="34">
        <f t="shared" si="176"/>
        <v>107210.51999999999</v>
      </c>
      <c r="R714" s="34">
        <f t="shared" si="176"/>
        <v>120000</v>
      </c>
      <c r="S714" s="34">
        <f t="shared" si="176"/>
        <v>128652.624</v>
      </c>
      <c r="T714" s="34">
        <f>SUM(T709:T713)</f>
        <v>120000</v>
      </c>
      <c r="U714" s="34">
        <f>SUM(U709:U713)</f>
        <v>120000</v>
      </c>
      <c r="V714" s="123">
        <f t="shared" si="175"/>
        <v>0</v>
      </c>
      <c r="W714" s="123">
        <f t="shared" si="175"/>
        <v>0</v>
      </c>
    </row>
    <row r="715" spans="2:23" ht="15">
      <c r="B715" s="135"/>
      <c r="C715" s="87" t="s">
        <v>641</v>
      </c>
      <c r="D715" s="87"/>
      <c r="E715" s="87"/>
      <c r="F715" s="87"/>
      <c r="G715" s="87"/>
      <c r="H715" s="87"/>
      <c r="I715" s="88"/>
      <c r="J715" s="94"/>
      <c r="K715" s="94"/>
      <c r="L715" s="94"/>
      <c r="M715" s="136"/>
      <c r="N715" s="136"/>
      <c r="O715" s="95"/>
      <c r="P715" s="124"/>
      <c r="Q715" s="124"/>
      <c r="R715" s="124"/>
      <c r="S715" s="124"/>
      <c r="T715" s="124"/>
      <c r="U715" s="124"/>
      <c r="V715" s="89"/>
      <c r="W715" s="89"/>
    </row>
    <row r="716" spans="2:23" ht="15">
      <c r="B716" s="92">
        <v>1912000110</v>
      </c>
      <c r="C716" s="109" t="str">
        <f t="shared" ref="C716:C744" si="177">MID(B716,8,3)</f>
        <v>110</v>
      </c>
      <c r="D716" s="109" t="str">
        <f t="shared" ref="D716:D744" si="178">MID(B716,2,6)</f>
        <v>912000</v>
      </c>
      <c r="E716" s="93" t="s">
        <v>642</v>
      </c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>
        <f>VLOOKUP(B:B,'[3]תשלומים 2017'!B:R,15,0)</f>
        <v>122000</v>
      </c>
      <c r="Q716" s="95">
        <f>VLOOKUP(B:B,'[3]דוח כספי 31.10'!A:D,4,0)</f>
        <v>30562.35</v>
      </c>
      <c r="R716" s="95">
        <f>VLOOKUP(B:B,'[3]תשלומים 2017'!B:T,17,0)</f>
        <v>41000</v>
      </c>
      <c r="S716" s="95">
        <f>Q716/9*12</f>
        <v>40749.800000000003</v>
      </c>
      <c r="T716" s="95">
        <f>VLOOKUP('פירוט תקציב 2017 ו 2018'!B716,'תשלומים 2017'!$A$2:$Q$391,17,0)</f>
        <v>41000</v>
      </c>
      <c r="U716" s="95">
        <v>68000</v>
      </c>
      <c r="V716" s="96">
        <v>0.33</v>
      </c>
      <c r="W716" s="96">
        <v>0.33</v>
      </c>
    </row>
    <row r="717" spans="2:23" ht="15">
      <c r="B717" s="92">
        <v>1913000540</v>
      </c>
      <c r="C717" s="109" t="str">
        <f t="shared" si="177"/>
        <v>540</v>
      </c>
      <c r="D717" s="109" t="str">
        <f t="shared" si="178"/>
        <v>913000</v>
      </c>
      <c r="E717" s="93" t="s">
        <v>438</v>
      </c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>
        <f>VLOOKUP(B:B,'[3]תשלומים 2017'!B:R,15,0)</f>
        <v>0</v>
      </c>
      <c r="Q717" s="95">
        <f>VLOOKUP(B:B,'[3]דוח כספי 31.10'!A:D,4,0)</f>
        <v>0</v>
      </c>
      <c r="R717" s="95">
        <f>VLOOKUP(B:B,'[3]תשלומים 2017'!B:T,17,0)</f>
        <v>0</v>
      </c>
      <c r="S717" s="95">
        <f>Q717/10*12</f>
        <v>0</v>
      </c>
      <c r="T717" s="95">
        <f>VLOOKUP('פירוט תקציב 2017 ו 2018'!B717,'תשלומים 2017'!$A$2:$Q$391,17,0)</f>
        <v>0</v>
      </c>
      <c r="U717" s="95">
        <v>0</v>
      </c>
      <c r="V717" s="110"/>
      <c r="W717" s="110"/>
    </row>
    <row r="718" spans="2:23" ht="15">
      <c r="B718" s="92">
        <v>1913000732</v>
      </c>
      <c r="C718" s="109" t="str">
        <f t="shared" si="177"/>
        <v>732</v>
      </c>
      <c r="D718" s="109" t="str">
        <f t="shared" si="178"/>
        <v>913000</v>
      </c>
      <c r="E718" s="93" t="s">
        <v>643</v>
      </c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>
        <f>VLOOKUP(B:B,'[3]תשלומים 2017'!B:R,15,0)</f>
        <v>14000</v>
      </c>
      <c r="Q718" s="95">
        <f>VLOOKUP(B:B,'[3]דוח כספי 31.10'!A:D,4,0)</f>
        <v>7348.9</v>
      </c>
      <c r="R718" s="95">
        <f>VLOOKUP(B:B,'[3]תשלומים 2017'!B:T,17,0)</f>
        <v>9000</v>
      </c>
      <c r="S718" s="95">
        <f>Q718/10*12</f>
        <v>8818.68</v>
      </c>
      <c r="T718" s="95">
        <f>VLOOKUP('פירוט תקציב 2017 ו 2018'!B718,'תשלומים 2017'!$A$2:$Q$391,17,0)</f>
        <v>9000</v>
      </c>
      <c r="U718" s="95">
        <v>9000</v>
      </c>
      <c r="V718" s="110"/>
      <c r="W718" s="110"/>
    </row>
    <row r="719" spans="2:23" ht="15">
      <c r="B719" s="92">
        <v>1913100720</v>
      </c>
      <c r="C719" s="109" t="str">
        <f t="shared" si="177"/>
        <v>720</v>
      </c>
      <c r="D719" s="109" t="str">
        <f t="shared" si="178"/>
        <v>913100</v>
      </c>
      <c r="E719" s="93" t="s">
        <v>644</v>
      </c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>
        <f>VLOOKUP(B:B,'[3]תשלומים 2017'!B:R,15,0)</f>
        <v>3276000</v>
      </c>
      <c r="Q719" s="95">
        <f>VLOOKUP(B:B,'[3]דוח כספי 31.10'!A:D,4,0)</f>
        <v>2427451.65</v>
      </c>
      <c r="R719" s="95">
        <f>VLOOKUP(B:B,'[3]תשלומים 2017'!B:T,17,0)</f>
        <v>2950000</v>
      </c>
      <c r="S719" s="95">
        <f>Q719/10*12</f>
        <v>2912941.9799999995</v>
      </c>
      <c r="T719" s="95">
        <f>VLOOKUP('פירוט תקציב 2017 ו 2018'!B719,'תשלומים 2017'!$A$2:$Q$391,17,0)</f>
        <v>2950000</v>
      </c>
      <c r="U719" s="95">
        <v>2822000</v>
      </c>
      <c r="V719" s="110"/>
      <c r="W719" s="110"/>
    </row>
    <row r="720" spans="2:23" ht="15">
      <c r="B720" s="92">
        <v>1913200110</v>
      </c>
      <c r="C720" s="109" t="str">
        <f t="shared" si="177"/>
        <v>110</v>
      </c>
      <c r="D720" s="109" t="str">
        <f t="shared" si="178"/>
        <v>913200</v>
      </c>
      <c r="E720" s="93" t="s">
        <v>540</v>
      </c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>
        <f>VLOOKUP(B:B,'[3]תשלומים 2017'!B:R,15,0)</f>
        <v>196000</v>
      </c>
      <c r="Q720" s="95">
        <f>VLOOKUP(B:B,'[3]דוח כספי 31.10'!A:D,4,0)</f>
        <v>137636.68</v>
      </c>
      <c r="R720" s="95">
        <f>VLOOKUP(B:B,'[3]תשלומים 2017'!B:T,17,0)</f>
        <v>198000</v>
      </c>
      <c r="S720" s="95">
        <f>Q720/9*12</f>
        <v>183515.57333333333</v>
      </c>
      <c r="T720" s="95">
        <f>VLOOKUP('פירוט תקציב 2017 ו 2018'!B720,'תשלומים 2017'!$A$2:$Q$391,17,0)</f>
        <v>198000</v>
      </c>
      <c r="U720" s="95">
        <v>184000</v>
      </c>
      <c r="V720" s="96">
        <v>1</v>
      </c>
      <c r="W720" s="96">
        <v>1</v>
      </c>
    </row>
    <row r="721" spans="2:23" ht="15">
      <c r="B721" s="92">
        <v>1913200431</v>
      </c>
      <c r="C721" s="109" t="str">
        <f t="shared" si="177"/>
        <v>431</v>
      </c>
      <c r="D721" s="109" t="str">
        <f t="shared" si="178"/>
        <v>913200</v>
      </c>
      <c r="E721" s="93" t="s">
        <v>645</v>
      </c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>
        <f>VLOOKUP(B:B,'[3]תשלומים 2017'!B:R,15,0)</f>
        <v>79000</v>
      </c>
      <c r="Q721" s="95">
        <f>VLOOKUP(B:B,'[3]דוח כספי 31.10'!A:D,4,0)</f>
        <v>57602.96</v>
      </c>
      <c r="R721" s="95">
        <f>VLOOKUP(B:B,'[3]תשלומים 2017'!B:T,17,0)</f>
        <v>69000</v>
      </c>
      <c r="S721" s="95">
        <f t="shared" ref="S721:S727" si="179">Q721/10*12</f>
        <v>69123.551999999996</v>
      </c>
      <c r="T721" s="95">
        <f>VLOOKUP('פירוט תקציב 2017 ו 2018'!B721,'תשלומים 2017'!$A$2:$Q$391,17,0)</f>
        <v>69000</v>
      </c>
      <c r="U721" s="95">
        <v>69000</v>
      </c>
      <c r="V721" s="110"/>
      <c r="W721" s="110"/>
    </row>
    <row r="722" spans="2:23" ht="15">
      <c r="B722" s="92">
        <v>1913200720</v>
      </c>
      <c r="C722" s="109" t="str">
        <f t="shared" si="177"/>
        <v>720</v>
      </c>
      <c r="D722" s="109" t="str">
        <f t="shared" si="178"/>
        <v>913200</v>
      </c>
      <c r="E722" s="93" t="s">
        <v>646</v>
      </c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>
        <f>VLOOKUP(B:B,'[3]תשלומים 2017'!B:R,15,0)</f>
        <v>0</v>
      </c>
      <c r="Q722" s="95">
        <f>VLOOKUP(B:B,'[3]דוח כספי 31.10'!A:D,4,0)</f>
        <v>0</v>
      </c>
      <c r="R722" s="95">
        <f>VLOOKUP(B:B,'[3]תשלומים 2017'!B:T,17,0)</f>
        <v>0</v>
      </c>
      <c r="S722" s="95">
        <f t="shared" si="179"/>
        <v>0</v>
      </c>
      <c r="T722" s="95">
        <f>VLOOKUP('פירוט תקציב 2017 ו 2018'!B722,'תשלומים 2017'!$A$2:$Q$391,17,0)</f>
        <v>0</v>
      </c>
      <c r="U722" s="95">
        <v>0</v>
      </c>
      <c r="V722" s="110"/>
      <c r="W722" s="110"/>
    </row>
    <row r="723" spans="2:23" ht="15">
      <c r="B723" s="92">
        <v>1913200731</v>
      </c>
      <c r="C723" s="109" t="str">
        <f t="shared" si="177"/>
        <v>731</v>
      </c>
      <c r="D723" s="109" t="str">
        <f t="shared" si="178"/>
        <v>913200</v>
      </c>
      <c r="E723" s="93" t="s">
        <v>647</v>
      </c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>
        <f>VLOOKUP(B:B,'[3]תשלומים 2017'!B:R,15,0)</f>
        <v>8000</v>
      </c>
      <c r="Q723" s="95">
        <f>VLOOKUP(B:B,'[3]דוח כספי 31.10'!A:D,4,0)</f>
        <v>19172.05</v>
      </c>
      <c r="R723" s="95">
        <f>VLOOKUP(B:B,'[3]תשלומים 2017'!B:T,17,0)</f>
        <v>23000</v>
      </c>
      <c r="S723" s="95">
        <f t="shared" si="179"/>
        <v>23006.46</v>
      </c>
      <c r="T723" s="95">
        <f>VLOOKUP('פירוט תקציב 2017 ו 2018'!B723,'תשלומים 2017'!$A$2:$Q$391,17,0)</f>
        <v>23000</v>
      </c>
      <c r="U723" s="95">
        <v>23000</v>
      </c>
      <c r="V723" s="110"/>
      <c r="W723" s="110"/>
    </row>
    <row r="724" spans="2:23" ht="15">
      <c r="B724" s="92">
        <v>1913200750</v>
      </c>
      <c r="C724" s="109" t="str">
        <f t="shared" si="177"/>
        <v>750</v>
      </c>
      <c r="D724" s="109" t="str">
        <f t="shared" si="178"/>
        <v>913200</v>
      </c>
      <c r="E724" s="93" t="s">
        <v>648</v>
      </c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>
        <f>VLOOKUP(B:B,'[3]תשלומים 2017'!B:R,15,0)</f>
        <v>148000</v>
      </c>
      <c r="Q724" s="95">
        <f>VLOOKUP(B:B,'[3]דוח כספי 31.10'!A:D,4,0)</f>
        <v>67623.45</v>
      </c>
      <c r="R724" s="95">
        <f>VLOOKUP(B:B,'[3]תשלומים 2017'!B:T,17,0)</f>
        <v>81000</v>
      </c>
      <c r="S724" s="95">
        <f t="shared" si="179"/>
        <v>81148.139999999985</v>
      </c>
      <c r="T724" s="95">
        <f>VLOOKUP('פירוט תקציב 2017 ו 2018'!B724,'תשלומים 2017'!$A$2:$Q$391,17,0)</f>
        <v>81000</v>
      </c>
      <c r="U724" s="95">
        <v>81000</v>
      </c>
      <c r="V724" s="110"/>
      <c r="W724" s="110"/>
    </row>
    <row r="725" spans="2:23" ht="15">
      <c r="B725" s="92">
        <v>1913200910</v>
      </c>
      <c r="C725" s="109" t="str">
        <f t="shared" si="177"/>
        <v>910</v>
      </c>
      <c r="D725" s="109" t="str">
        <f t="shared" si="178"/>
        <v>913200</v>
      </c>
      <c r="E725" s="93" t="s">
        <v>363</v>
      </c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>
        <f>VLOOKUP(B:B,'[3]תשלומים 2017'!B:R,15,0)</f>
        <v>0</v>
      </c>
      <c r="Q725" s="95">
        <f>VLOOKUP(B:B,'[3]דוח כספי 31.10'!A:D,4,0)</f>
        <v>0</v>
      </c>
      <c r="R725" s="95">
        <f>VLOOKUP(B:B,'[3]תשלומים 2017'!B:T,17,0)</f>
        <v>0</v>
      </c>
      <c r="S725" s="95">
        <f t="shared" si="179"/>
        <v>0</v>
      </c>
      <c r="T725" s="95">
        <f>VLOOKUP('פירוט תקציב 2017 ו 2018'!B725,'תשלומים 2017'!$A$2:$Q$391,17,0)</f>
        <v>0</v>
      </c>
      <c r="U725" s="95">
        <v>0</v>
      </c>
      <c r="V725" s="110"/>
      <c r="W725" s="110"/>
    </row>
    <row r="726" spans="2:23" ht="15">
      <c r="B726" s="92">
        <v>1913200930</v>
      </c>
      <c r="C726" s="109" t="str">
        <f t="shared" si="177"/>
        <v>930</v>
      </c>
      <c r="D726" s="109" t="str">
        <f t="shared" si="178"/>
        <v>913200</v>
      </c>
      <c r="E726" s="93" t="s">
        <v>649</v>
      </c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>
        <f>VLOOKUP(B:B,'[3]תשלומים 2017'!B:R,15,0)</f>
        <v>0</v>
      </c>
      <c r="Q726" s="95">
        <f>VLOOKUP(B:B,'[3]דוח כספי 31.10'!A:D,4,0)</f>
        <v>0</v>
      </c>
      <c r="R726" s="95">
        <f>VLOOKUP(B:B,'[3]תשלומים 2017'!B:T,17,0)</f>
        <v>0</v>
      </c>
      <c r="S726" s="95">
        <f t="shared" si="179"/>
        <v>0</v>
      </c>
      <c r="T726" s="95">
        <f>VLOOKUP('פירוט תקציב 2017 ו 2018'!B726,'תשלומים 2017'!$A$2:$Q$391,17,0)</f>
        <v>0</v>
      </c>
      <c r="U726" s="95">
        <v>0</v>
      </c>
      <c r="V726" s="110"/>
      <c r="W726" s="110"/>
    </row>
    <row r="727" spans="2:23" ht="15">
      <c r="B727" s="92">
        <v>1913300731</v>
      </c>
      <c r="C727" s="109" t="str">
        <f t="shared" si="177"/>
        <v>731</v>
      </c>
      <c r="D727" s="109" t="str">
        <f t="shared" si="178"/>
        <v>913300</v>
      </c>
      <c r="E727" s="93" t="s">
        <v>650</v>
      </c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>
        <f>VLOOKUP(B:B,'[3]תשלומים 2017'!B:R,15,0)</f>
        <v>15000</v>
      </c>
      <c r="Q727" s="95">
        <f>VLOOKUP(B:B,'[3]דוח כספי 31.10'!A:D,4,0)</f>
        <v>13200</v>
      </c>
      <c r="R727" s="95">
        <f>VLOOKUP(B:B,'[3]תשלומים 2017'!B:T,17,0)</f>
        <v>16000</v>
      </c>
      <c r="S727" s="95">
        <f t="shared" si="179"/>
        <v>15840</v>
      </c>
      <c r="T727" s="95">
        <f>VLOOKUP('פירוט תקציב 2017 ו 2018'!B727,'תשלומים 2017'!$A$2:$Q$391,17,0)</f>
        <v>16000</v>
      </c>
      <c r="U727" s="95">
        <v>16000</v>
      </c>
      <c r="V727" s="110"/>
      <c r="W727" s="110"/>
    </row>
    <row r="728" spans="2:23" ht="15">
      <c r="B728" s="92">
        <v>1970000110</v>
      </c>
      <c r="C728" s="109" t="str">
        <f t="shared" si="177"/>
        <v>110</v>
      </c>
      <c r="D728" s="109" t="str">
        <f t="shared" si="178"/>
        <v>970000</v>
      </c>
      <c r="E728" s="93" t="s">
        <v>651</v>
      </c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>
        <f>VLOOKUP(B:B,'[3]תשלומים 2017'!B:R,15,0)</f>
        <v>137000</v>
      </c>
      <c r="Q728" s="95">
        <f>VLOOKUP(B:B,'[3]דוח כספי 31.10'!A:D,4,0)</f>
        <v>132016.56</v>
      </c>
      <c r="R728" s="95">
        <v>178000</v>
      </c>
      <c r="S728" s="137">
        <f>Q728/9*12</f>
        <v>176022.08</v>
      </c>
      <c r="T728" s="95">
        <f>VLOOKUP('פירוט תקציב 2017 ו 2018'!B728,'תשלומים 2017'!$A$2:$Q$391,17,0)</f>
        <v>192000</v>
      </c>
      <c r="U728" s="95">
        <v>179000</v>
      </c>
      <c r="V728" s="96">
        <v>1</v>
      </c>
      <c r="W728" s="96">
        <v>1</v>
      </c>
    </row>
    <row r="729" spans="2:23" ht="15">
      <c r="B729" s="92">
        <v>1973000431</v>
      </c>
      <c r="C729" s="109" t="str">
        <f t="shared" si="177"/>
        <v>431</v>
      </c>
      <c r="D729" s="109" t="str">
        <f t="shared" si="178"/>
        <v>973000</v>
      </c>
      <c r="E729" s="93" t="s">
        <v>652</v>
      </c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>
        <f>VLOOKUP(B:B,'[3]תשלומים 2017'!B:R,15,0)</f>
        <v>18000</v>
      </c>
      <c r="Q729" s="95">
        <f>VLOOKUP(B:B,'[3]דוח כספי 31.10'!A:D,4,0)</f>
        <v>0</v>
      </c>
      <c r="R729" s="95">
        <v>18000</v>
      </c>
      <c r="S729" s="95">
        <f t="shared" ref="S729:S744" si="180">Q729/10*12</f>
        <v>0</v>
      </c>
      <c r="T729" s="95">
        <f>VLOOKUP('פירוט תקציב 2017 ו 2018'!B729,'תשלומים 2017'!$A$2:$Q$391,17,0)</f>
        <v>0</v>
      </c>
      <c r="U729" s="95">
        <v>18000</v>
      </c>
      <c r="V729" s="110"/>
      <c r="W729" s="110"/>
    </row>
    <row r="730" spans="2:23" ht="15">
      <c r="B730" s="92">
        <v>1973000440</v>
      </c>
      <c r="C730" s="109" t="str">
        <f t="shared" si="177"/>
        <v>440</v>
      </c>
      <c r="D730" s="109" t="str">
        <f t="shared" si="178"/>
        <v>973000</v>
      </c>
      <c r="E730" s="93" t="s">
        <v>354</v>
      </c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>
        <f>VLOOKUP(B:B,'[3]תשלומים 2017'!B:R,15,0)</f>
        <v>27000</v>
      </c>
      <c r="Q730" s="95">
        <f>VLOOKUP(B:B,'[3]דוח כספי 31.10'!A:D,4,0)</f>
        <v>22132</v>
      </c>
      <c r="R730" s="95">
        <f>VLOOKUP(B:B,'[3]תשלומים 2017'!B:T,17,0)</f>
        <v>22000</v>
      </c>
      <c r="S730" s="137">
        <f t="shared" si="180"/>
        <v>26558.399999999998</v>
      </c>
      <c r="T730" s="95">
        <f>VLOOKUP('פירוט תקציב 2017 ו 2018'!B730,'תשלומים 2017'!$A$2:$Q$391,17,0)</f>
        <v>22000</v>
      </c>
      <c r="U730" s="95">
        <v>22000</v>
      </c>
      <c r="V730" s="110"/>
      <c r="W730" s="110"/>
    </row>
    <row r="731" spans="2:23" ht="15">
      <c r="B731" s="92">
        <v>1973000691</v>
      </c>
      <c r="C731" s="109" t="str">
        <f t="shared" si="177"/>
        <v>691</v>
      </c>
      <c r="D731" s="109" t="str">
        <f t="shared" si="178"/>
        <v>973000</v>
      </c>
      <c r="E731" s="93" t="s">
        <v>653</v>
      </c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>
        <f>VLOOKUP(B:B,'[3]תשלומים 2017'!B:R,15,0)</f>
        <v>9000</v>
      </c>
      <c r="Q731" s="95">
        <f>VLOOKUP(B:B,'[3]דוח כספי 31.10'!A:D,4,0)</f>
        <v>6561.3</v>
      </c>
      <c r="R731" s="95">
        <f>VLOOKUP(B:B,'[3]תשלומים 2017'!B:T,17,0)</f>
        <v>8000</v>
      </c>
      <c r="S731" s="137">
        <f t="shared" si="180"/>
        <v>7873.5599999999995</v>
      </c>
      <c r="T731" s="95">
        <f>VLOOKUP('פירוט תקציב 2017 ו 2018'!B731,'תשלומים 2017'!$A$2:$Q$391,17,0)</f>
        <v>8000</v>
      </c>
      <c r="U731" s="95">
        <v>8000</v>
      </c>
      <c r="V731" s="110"/>
      <c r="W731" s="110"/>
    </row>
    <row r="732" spans="2:23" ht="15">
      <c r="B732" s="92">
        <v>1973000692</v>
      </c>
      <c r="C732" s="109" t="str">
        <f t="shared" si="177"/>
        <v>692</v>
      </c>
      <c r="D732" s="109" t="str">
        <f t="shared" si="178"/>
        <v>973000</v>
      </c>
      <c r="E732" s="93" t="s">
        <v>654</v>
      </c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>
        <f>VLOOKUP(B:B,'[3]תשלומים 2017'!B:R,15,0)</f>
        <v>6000</v>
      </c>
      <c r="Q732" s="95">
        <f>VLOOKUP(B:B,'[3]דוח כספי 31.10'!A:D,4,0)</f>
        <v>4046.99</v>
      </c>
      <c r="R732" s="95">
        <f>VLOOKUP(B:B,'[3]תשלומים 2017'!B:T,17,0)</f>
        <v>5000</v>
      </c>
      <c r="S732" s="137">
        <f t="shared" si="180"/>
        <v>4856.387999999999</v>
      </c>
      <c r="T732" s="95">
        <f>VLOOKUP('פירוט תקציב 2017 ו 2018'!B732,'תשלומים 2017'!$A$2:$Q$391,17,0)</f>
        <v>5000</v>
      </c>
      <c r="U732" s="95">
        <v>5000</v>
      </c>
      <c r="V732" s="110"/>
      <c r="W732" s="110"/>
    </row>
    <row r="733" spans="2:23" ht="15">
      <c r="B733" s="92">
        <v>1973000693</v>
      </c>
      <c r="C733" s="109" t="str">
        <f t="shared" si="177"/>
        <v>693</v>
      </c>
      <c r="D733" s="109" t="str">
        <f t="shared" si="178"/>
        <v>973000</v>
      </c>
      <c r="E733" s="93" t="s">
        <v>655</v>
      </c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>
        <f>VLOOKUP(B:B,'[3]תשלומים 2017'!B:R,15,0)</f>
        <v>1000</v>
      </c>
      <c r="Q733" s="95">
        <f>VLOOKUP(B:B,'[3]דוח כספי 31.10'!A:D,4,0)</f>
        <v>961.15</v>
      </c>
      <c r="R733" s="95">
        <f>VLOOKUP(B:B,'[3]תשלומים 2017'!B:T,17,0)</f>
        <v>2000</v>
      </c>
      <c r="S733" s="137">
        <f t="shared" si="180"/>
        <v>1153.3799999999999</v>
      </c>
      <c r="T733" s="95">
        <f>VLOOKUP('פירוט תקציב 2017 ו 2018'!B733,'תשלומים 2017'!$A$2:$Q$391,17,0)</f>
        <v>2000</v>
      </c>
      <c r="U733" s="95">
        <v>2000</v>
      </c>
      <c r="V733" s="110"/>
      <c r="W733" s="110"/>
    </row>
    <row r="734" spans="2:23" ht="15">
      <c r="B734" s="92">
        <v>1973000750</v>
      </c>
      <c r="C734" s="109" t="str">
        <f t="shared" si="177"/>
        <v>750</v>
      </c>
      <c r="D734" s="109" t="str">
        <f t="shared" si="178"/>
        <v>973000</v>
      </c>
      <c r="E734" s="93" t="s">
        <v>656</v>
      </c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>
        <f>VLOOKUP(B:B,'[3]תשלומים 2017'!B:R,15,0)</f>
        <v>201000</v>
      </c>
      <c r="Q734" s="95">
        <f>VLOOKUP(B:B,'[3]דוח כספי 31.10'!A:D,4,0)</f>
        <v>134723</v>
      </c>
      <c r="R734" s="95">
        <f>VLOOKUP(B:B,'[3]תשלומים 2017'!B:T,17,0)</f>
        <v>201000</v>
      </c>
      <c r="S734" s="137">
        <f t="shared" si="180"/>
        <v>161667.59999999998</v>
      </c>
      <c r="T734" s="95">
        <f>VLOOKUP('פירוט תקציב 2017 ו 2018'!B734,'תשלומים 2017'!$A$2:$Q$391,17,0)</f>
        <v>201000</v>
      </c>
      <c r="U734" s="95">
        <v>201000</v>
      </c>
      <c r="V734" s="110"/>
      <c r="W734" s="110"/>
    </row>
    <row r="735" spans="2:23" ht="15">
      <c r="B735" s="92">
        <v>1973000760</v>
      </c>
      <c r="C735" s="109" t="str">
        <f t="shared" si="177"/>
        <v>760</v>
      </c>
      <c r="D735" s="109" t="str">
        <f t="shared" si="178"/>
        <v>973000</v>
      </c>
      <c r="E735" s="93" t="s">
        <v>657</v>
      </c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>
        <f>VLOOKUP(B:B,'[3]תשלומים 2017'!B:R,15,0)</f>
        <v>0</v>
      </c>
      <c r="Q735" s="95">
        <f>VLOOKUP(B:B,'[3]דוח כספי 31.10'!A:D,4,0)</f>
        <v>0</v>
      </c>
      <c r="R735" s="95">
        <f>VLOOKUP(B:B,'[3]תשלומים 2017'!B:T,17,0)</f>
        <v>0</v>
      </c>
      <c r="S735" s="95">
        <f>Q735/10*12</f>
        <v>0</v>
      </c>
      <c r="T735" s="95">
        <f>VLOOKUP('פירוט תקציב 2017 ו 2018'!B735,'תשלומים 2017'!$A$2:$Q$391,17,0)</f>
        <v>0</v>
      </c>
      <c r="U735" s="95">
        <v>0</v>
      </c>
      <c r="V735" s="110"/>
      <c r="W735" s="110"/>
    </row>
    <row r="736" spans="2:23" ht="15">
      <c r="B736" s="92">
        <v>1973000810</v>
      </c>
      <c r="C736" s="109" t="str">
        <f t="shared" si="177"/>
        <v>810</v>
      </c>
      <c r="D736" s="109" t="str">
        <f t="shared" si="178"/>
        <v>973000</v>
      </c>
      <c r="E736" s="93" t="s">
        <v>657</v>
      </c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>
        <f>VLOOKUP(B:B,'[3]תשלומים 2017'!B:R,15,0)</f>
        <v>650000</v>
      </c>
      <c r="Q736" s="95">
        <f>VLOOKUP(B:B,'[3]דוח כספי 31.10'!A:D,4,0)</f>
        <v>100000</v>
      </c>
      <c r="R736" s="95">
        <f>VLOOKUP(B:B,'[3]תשלומים 2017'!B:T,17,0)</f>
        <v>650000</v>
      </c>
      <c r="S736" s="95">
        <f t="shared" si="180"/>
        <v>120000</v>
      </c>
      <c r="T736" s="95">
        <f>VLOOKUP('פירוט תקציב 2017 ו 2018'!B736,'תשלומים 2017'!$A$2:$Q$391,17,0)</f>
        <v>650000</v>
      </c>
      <c r="U736" s="95">
        <v>650000</v>
      </c>
      <c r="V736" s="110"/>
      <c r="W736" s="110"/>
    </row>
    <row r="737" spans="2:23" ht="15">
      <c r="B737" s="92">
        <v>1973000930</v>
      </c>
      <c r="C737" s="109" t="str">
        <f t="shared" si="177"/>
        <v>930</v>
      </c>
      <c r="D737" s="109" t="str">
        <f t="shared" si="178"/>
        <v>973000</v>
      </c>
      <c r="E737" s="93" t="s">
        <v>658</v>
      </c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>
        <f>VLOOKUP(B:B,'[3]תשלומים 2017'!B:R,15,0)</f>
        <v>0</v>
      </c>
      <c r="Q737" s="95">
        <f>VLOOKUP(B:B,'[3]דוח כספי 31.10'!A:D,4,0)</f>
        <v>-100000</v>
      </c>
      <c r="R737" s="95">
        <f>VLOOKUP(B:B,'[3]תשלומים 2017'!B:T,17,0)</f>
        <v>0</v>
      </c>
      <c r="S737" s="95">
        <f t="shared" si="180"/>
        <v>-120000</v>
      </c>
      <c r="T737" s="95">
        <f>VLOOKUP('פירוט תקציב 2017 ו 2018'!B737,'תשלומים 2017'!$A$2:$Q$391,17,0)</f>
        <v>0</v>
      </c>
      <c r="U737" s="95">
        <v>0</v>
      </c>
      <c r="V737" s="110"/>
      <c r="W737" s="110"/>
    </row>
    <row r="738" spans="2:23" ht="15">
      <c r="B738" s="92">
        <v>1973100750</v>
      </c>
      <c r="C738" s="109" t="str">
        <f t="shared" si="177"/>
        <v>750</v>
      </c>
      <c r="D738" s="109" t="str">
        <f t="shared" si="178"/>
        <v>973100</v>
      </c>
      <c r="E738" s="93" t="s">
        <v>659</v>
      </c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>
        <f>VLOOKUP(B:B,'[3]תשלומים 2017'!B:R,15,0)</f>
        <v>0</v>
      </c>
      <c r="Q738" s="95">
        <f>VLOOKUP(B:B,'[3]דוח כספי 31.10'!A:D,4,0)</f>
        <v>0</v>
      </c>
      <c r="R738" s="95">
        <f>VLOOKUP(B:B,'[3]תשלומים 2017'!B:T,17,0)</f>
        <v>0</v>
      </c>
      <c r="S738" s="95">
        <f t="shared" si="180"/>
        <v>0</v>
      </c>
      <c r="T738" s="95">
        <f>VLOOKUP('פירוט תקציב 2017 ו 2018'!B738,'תשלומים 2017'!$A$2:$Q$391,17,0)</f>
        <v>0</v>
      </c>
      <c r="U738" s="95">
        <v>0</v>
      </c>
      <c r="V738" s="110"/>
      <c r="W738" s="110"/>
    </row>
    <row r="739" spans="2:23" ht="15">
      <c r="B739" s="92">
        <v>1992000091</v>
      </c>
      <c r="C739" s="109" t="str">
        <f t="shared" si="177"/>
        <v>091</v>
      </c>
      <c r="D739" s="109" t="str">
        <f t="shared" si="178"/>
        <v>992000</v>
      </c>
      <c r="E739" s="93" t="s">
        <v>660</v>
      </c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>
        <f>VLOOKUP(B:B,'[3]תשלומים 2017'!B:R,15,0)</f>
        <v>0</v>
      </c>
      <c r="Q739" s="95">
        <f>VLOOKUP(B:B,'[3]דוח כספי 31.10'!A:D,4,0)</f>
        <v>0</v>
      </c>
      <c r="R739" s="95">
        <f>VLOOKUP(B:B,'[3]תשלומים 2017'!B:T,17,0)</f>
        <v>0</v>
      </c>
      <c r="S739" s="95">
        <f t="shared" si="180"/>
        <v>0</v>
      </c>
      <c r="T739" s="95">
        <f>VLOOKUP('פירוט תקציב 2017 ו 2018'!B739,'תשלומים 2017'!$A$2:$Q$391,17,0)</f>
        <v>0</v>
      </c>
      <c r="U739" s="95">
        <v>0</v>
      </c>
      <c r="V739" s="110"/>
      <c r="W739" s="110"/>
    </row>
    <row r="740" spans="2:23" ht="15">
      <c r="B740" s="92">
        <v>1992000910</v>
      </c>
      <c r="C740" s="109" t="str">
        <f t="shared" si="177"/>
        <v>910</v>
      </c>
      <c r="D740" s="109" t="str">
        <f t="shared" si="178"/>
        <v>992000</v>
      </c>
      <c r="E740" s="93" t="s">
        <v>661</v>
      </c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>
        <f>VLOOKUP(B:B,'[3]תשלומים 2017'!B:R,15,0)</f>
        <v>0</v>
      </c>
      <c r="Q740" s="95">
        <f>VLOOKUP(B:B,'[3]דוח כספי 31.10'!A:D,4,0)</f>
        <v>0</v>
      </c>
      <c r="R740" s="95">
        <f>VLOOKUP(B:B,'[3]תשלומים 2017'!B:T,17,0)</f>
        <v>0</v>
      </c>
      <c r="S740" s="95">
        <f t="shared" si="180"/>
        <v>0</v>
      </c>
      <c r="T740" s="95">
        <f>VLOOKUP('פירוט תקציב 2017 ו 2018'!B740,'תשלומים 2017'!$A$2:$Q$391,17,0)</f>
        <v>0</v>
      </c>
      <c r="U740" s="95">
        <v>0</v>
      </c>
      <c r="V740" s="110"/>
      <c r="W740" s="110"/>
    </row>
    <row r="741" spans="2:23" ht="15">
      <c r="B741" s="100">
        <v>1992000960</v>
      </c>
      <c r="C741" s="101" t="str">
        <f t="shared" si="177"/>
        <v>960</v>
      </c>
      <c r="D741" s="101" t="str">
        <f t="shared" si="178"/>
        <v>992000</v>
      </c>
      <c r="E741" s="102" t="s">
        <v>662</v>
      </c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>
        <f>VLOOKUP(B:B,'[3]תשלומים 2017'!B:R,15,0)</f>
        <v>1689000</v>
      </c>
      <c r="Q741" s="103">
        <f>VLOOKUP(B:B,'[3]דוח כספי 31.10'!A:D,4,0)</f>
        <v>0</v>
      </c>
      <c r="R741" s="103">
        <v>735000</v>
      </c>
      <c r="S741" s="103">
        <f t="shared" si="180"/>
        <v>0</v>
      </c>
      <c r="T741" s="95">
        <f>VLOOKUP('פירוט תקציב 2017 ו 2018'!B741,'תשלומים 2017'!$A$2:$Q$391,17,0)</f>
        <v>0</v>
      </c>
      <c r="U741" s="26"/>
      <c r="V741" s="104"/>
      <c r="W741" s="104"/>
    </row>
    <row r="742" spans="2:23" ht="15">
      <c r="B742" s="92">
        <v>1992000991</v>
      </c>
      <c r="C742" s="109" t="str">
        <f t="shared" si="177"/>
        <v>991</v>
      </c>
      <c r="D742" s="109" t="str">
        <f t="shared" si="178"/>
        <v>992000</v>
      </c>
      <c r="E742" s="93" t="s">
        <v>660</v>
      </c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>
        <f>VLOOKUP(B:B,'[3]תשלומים 2017'!B:R,15,0)</f>
        <v>0</v>
      </c>
      <c r="Q742" s="95">
        <f>VLOOKUP(B:B,'[3]דוח כספי 31.10'!A:D,4,0)</f>
        <v>0</v>
      </c>
      <c r="R742" s="95">
        <f>VLOOKUP(B:B,'[3]תשלומים 2017'!B:T,17,0)</f>
        <v>0</v>
      </c>
      <c r="S742" s="95">
        <f t="shared" si="180"/>
        <v>0</v>
      </c>
      <c r="T742" s="95">
        <f>VLOOKUP('פירוט תקציב 2017 ו 2018'!B742,'תשלומים 2017'!$A$2:$Q$391,17,0)</f>
        <v>0</v>
      </c>
      <c r="U742" s="95">
        <v>0</v>
      </c>
      <c r="V742" s="110"/>
      <c r="W742" s="110"/>
    </row>
    <row r="743" spans="2:23" ht="15">
      <c r="B743" s="92">
        <v>1995000860</v>
      </c>
      <c r="C743" s="109" t="str">
        <f t="shared" si="177"/>
        <v>860</v>
      </c>
      <c r="D743" s="109" t="str">
        <f t="shared" si="178"/>
        <v>995000</v>
      </c>
      <c r="E743" s="93" t="s">
        <v>663</v>
      </c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>
        <f>VLOOKUP(B:B,'[3]תשלומים 2017'!B:R,15,0)</f>
        <v>2556000</v>
      </c>
      <c r="Q743" s="95">
        <f>VLOOKUP(B:B,'[3]דוח כספי 31.10'!A:D,4,0)</f>
        <v>1256699.5</v>
      </c>
      <c r="R743" s="95">
        <f>VLOOKUP(B:B,'[3]תשלומים 2017'!B:T,17,0)</f>
        <v>3360000</v>
      </c>
      <c r="S743" s="95">
        <f t="shared" si="180"/>
        <v>1508039.4</v>
      </c>
      <c r="T743" s="95">
        <f>VLOOKUP('פירוט תקציב 2017 ו 2018'!B743,'תשלומים 2017'!$A$2:$Q$391,17,0)</f>
        <v>3360000</v>
      </c>
      <c r="U743" s="20">
        <v>3360000</v>
      </c>
      <c r="V743" s="110"/>
      <c r="W743" s="110"/>
    </row>
    <row r="744" spans="2:23" ht="15">
      <c r="B744" s="92">
        <v>1998000115</v>
      </c>
      <c r="C744" s="109" t="str">
        <f t="shared" si="177"/>
        <v>115</v>
      </c>
      <c r="D744" s="109" t="str">
        <f t="shared" si="178"/>
        <v>998000</v>
      </c>
      <c r="E744" s="93" t="s">
        <v>664</v>
      </c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>
        <f>VLOOKUP(B:B,'[3]תשלומים 2017'!B:R,15,0)</f>
        <v>0</v>
      </c>
      <c r="Q744" s="95">
        <f>VLOOKUP(B:B,'[3]דוח כספי 31.10'!A:D,4,0)</f>
        <v>0</v>
      </c>
      <c r="R744" s="95">
        <f>VLOOKUP(B:B,'[3]תשלומים 2017'!B:T,17,0)</f>
        <v>0</v>
      </c>
      <c r="S744" s="95">
        <f t="shared" si="180"/>
        <v>0</v>
      </c>
      <c r="T744" s="95">
        <f>VLOOKUP('פירוט תקציב 2017 ו 2018'!B744,'תשלומים 2017'!$A$2:$Q$391,17,0)</f>
        <v>0</v>
      </c>
      <c r="U744" s="95">
        <v>0</v>
      </c>
      <c r="V744" s="110"/>
      <c r="W744" s="110"/>
    </row>
    <row r="745" spans="2:23" ht="15">
      <c r="B745" s="100">
        <v>1999000310</v>
      </c>
      <c r="C745" s="101" t="str">
        <f>MID(B745,8,3)</f>
        <v>310</v>
      </c>
      <c r="D745" s="101" t="str">
        <f>MID(B745,2,6)</f>
        <v>999000</v>
      </c>
      <c r="E745" s="102" t="s">
        <v>369</v>
      </c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>
        <v>0</v>
      </c>
      <c r="Q745" s="103">
        <v>0</v>
      </c>
      <c r="R745" s="103">
        <v>0</v>
      </c>
      <c r="S745" s="103">
        <v>0</v>
      </c>
      <c r="T745" s="95">
        <v>0</v>
      </c>
      <c r="U745" s="103">
        <v>1546000</v>
      </c>
      <c r="V745" s="104">
        <v>8.56</v>
      </c>
      <c r="W745" s="104">
        <v>8.4</v>
      </c>
    </row>
    <row r="746" spans="2:23" ht="15">
      <c r="B746" s="100">
        <v>1999900310</v>
      </c>
      <c r="C746" s="101" t="str">
        <f>MID(B746,8,3)</f>
        <v>310</v>
      </c>
      <c r="D746" s="101" t="str">
        <f>MID(B746,2,6)</f>
        <v>999900</v>
      </c>
      <c r="E746" s="102" t="s">
        <v>353</v>
      </c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>
        <v>0</v>
      </c>
      <c r="Q746" s="103">
        <v>0</v>
      </c>
      <c r="R746" s="103">
        <v>0</v>
      </c>
      <c r="S746" s="103">
        <v>0</v>
      </c>
      <c r="T746" s="95">
        <v>0</v>
      </c>
      <c r="U746" s="103"/>
      <c r="V746" s="104"/>
      <c r="W746" s="104"/>
    </row>
    <row r="747" spans="2:23" ht="15">
      <c r="B747" s="32"/>
      <c r="C747" s="33"/>
      <c r="D747" s="33"/>
      <c r="E747" s="33" t="s">
        <v>666</v>
      </c>
      <c r="F747" s="34" t="e">
        <f>SUM(#REF!)</f>
        <v>#REF!</v>
      </c>
      <c r="G747" s="34" t="e">
        <f>SUM(#REF!)</f>
        <v>#REF!</v>
      </c>
      <c r="H747" s="34" t="e">
        <f>SUM(#REF!)</f>
        <v>#REF!</v>
      </c>
      <c r="I747" s="34" t="e">
        <f>SUM(#REF!)</f>
        <v>#REF!</v>
      </c>
      <c r="J747" s="34" t="e">
        <f>SUM(#REF!)</f>
        <v>#REF!</v>
      </c>
      <c r="K747" s="34" t="e">
        <f>SUM(#REF!)</f>
        <v>#REF!</v>
      </c>
      <c r="L747" s="34" t="e">
        <f>SUM(#REF!)</f>
        <v>#REF!</v>
      </c>
      <c r="M747" s="34" t="e">
        <f>SUM(#REF!)</f>
        <v>#REF!</v>
      </c>
      <c r="N747" s="34" t="e">
        <f>SUM(#REF!)</f>
        <v>#REF!</v>
      </c>
      <c r="O747" s="34" t="e">
        <f>SUM(#REF!)</f>
        <v>#REF!</v>
      </c>
      <c r="P747" s="34">
        <f>SUM(P716:P746)</f>
        <v>9152000</v>
      </c>
      <c r="Q747" s="34">
        <f t="shared" ref="Q747:S747" si="181">SUM(Q716:Q746)</f>
        <v>4317738.54</v>
      </c>
      <c r="R747" s="34">
        <f t="shared" si="181"/>
        <v>8566000</v>
      </c>
      <c r="S747" s="34">
        <f t="shared" si="181"/>
        <v>5221314.9933333322</v>
      </c>
      <c r="T747" s="34">
        <f>SUM(T716:T746)</f>
        <v>7827000</v>
      </c>
      <c r="U747" s="34">
        <f>SUM(U716:U746)</f>
        <v>9263000</v>
      </c>
      <c r="V747" s="123">
        <f>SUM(V716:V746)</f>
        <v>10.89</v>
      </c>
      <c r="W747" s="123">
        <f>SUM(W716:W746)</f>
        <v>10.73</v>
      </c>
    </row>
    <row r="748" spans="2:23" ht="15.75" thickBot="1">
      <c r="B748" s="138"/>
      <c r="C748" s="139"/>
      <c r="D748" s="139"/>
      <c r="E748" s="140" t="s">
        <v>667</v>
      </c>
      <c r="F748" s="141" t="e">
        <f>F747+#REF!+F714+F707+F640+F651+F598+F476+F427</f>
        <v>#REF!</v>
      </c>
      <c r="G748" s="141" t="e">
        <f>G747+#REF!+G714+G707+G640+G651+G598+G476+G427</f>
        <v>#REF!</v>
      </c>
      <c r="H748" s="141" t="e">
        <f>H747+#REF!+H714+H707+H640+H651+H598+H476+H427</f>
        <v>#REF!</v>
      </c>
      <c r="I748" s="141" t="e">
        <f>I747+#REF!+I714+I707+I640+I651+I598+I476+I427</f>
        <v>#REF!</v>
      </c>
      <c r="J748" s="141" t="e">
        <f>J747+#REF!+J714+J707+J640+J651+J598+J476+J427</f>
        <v>#REF!</v>
      </c>
      <c r="K748" s="141" t="e">
        <f>K747+#REF!+K714+K707+K640+K651+K598+K476+K427</f>
        <v>#REF!</v>
      </c>
      <c r="L748" s="141" t="e">
        <f>L747+#REF!+L714+L707+L640+L651+L598+L476+L427</f>
        <v>#REF!</v>
      </c>
      <c r="M748" s="141" t="e">
        <f>M747+#REF!+M714+M707+M640+M651+M598+M476+M427</f>
        <v>#REF!</v>
      </c>
      <c r="N748" s="141" t="e">
        <f>N747+#REF!+N714+N707+N640+N651+N598+N476+N427</f>
        <v>#REF!</v>
      </c>
      <c r="O748" s="141" t="e">
        <f>O747+#REF!+O714+O707+O640+O651+O598+O476+O427</f>
        <v>#REF!</v>
      </c>
      <c r="P748" s="141">
        <f t="shared" ref="P748:U748" si="182">P747+P714+P707+P640+P651+P598+P476+P427</f>
        <v>62584000</v>
      </c>
      <c r="Q748" s="141">
        <f t="shared" si="182"/>
        <v>51812417.859999992</v>
      </c>
      <c r="R748" s="141">
        <f t="shared" si="182"/>
        <v>71086500</v>
      </c>
      <c r="S748" s="141">
        <f t="shared" si="182"/>
        <v>65390694.931999996</v>
      </c>
      <c r="T748" s="141">
        <f t="shared" ref="T748" si="183">T747+T714+T707+T640+T651+T598+T476+T427</f>
        <v>71088500</v>
      </c>
      <c r="U748" s="141">
        <f t="shared" si="182"/>
        <v>71862000</v>
      </c>
      <c r="V748" s="142">
        <f>V747+V714+V707+V640+V651+V598+V476+V427</f>
        <v>207.24999999999997</v>
      </c>
      <c r="W748" s="142">
        <f>W747+W714+W707+W640+W651+W598+W476+W427</f>
        <v>236.23299999999998</v>
      </c>
    </row>
    <row r="749" spans="2:23" ht="15.75" thickBot="1">
      <c r="B749" s="145"/>
      <c r="C749" s="146"/>
      <c r="D749" s="146"/>
      <c r="E749" s="147" t="s">
        <v>668</v>
      </c>
      <c r="F749" s="148" t="e">
        <f>-F748+[3]תקבולים!F701</f>
        <v>#REF!</v>
      </c>
      <c r="G749" s="148" t="e">
        <f>-G748+[3]תקבולים!G701</f>
        <v>#REF!</v>
      </c>
      <c r="H749" s="148" t="e">
        <f>-H748+[3]תקבולים!H701</f>
        <v>#REF!</v>
      </c>
      <c r="I749" s="148" t="e">
        <f>-I748+[3]תקבולים!I701</f>
        <v>#REF!</v>
      </c>
      <c r="J749" s="148"/>
      <c r="K749" s="148"/>
      <c r="L749" s="148">
        <f>[3]תקבולים!L701-תשלומים!L749</f>
        <v>0</v>
      </c>
      <c r="M749" s="148">
        <f>[3]תקבולים!M701-תשלומים!M749</f>
        <v>0</v>
      </c>
      <c r="N749" s="148">
        <f>[3]תקבולים!N701-תשלומים!N749</f>
        <v>0</v>
      </c>
      <c r="O749" s="148">
        <f>[3]תקבולים!O701-תשלומים!O749</f>
        <v>0</v>
      </c>
      <c r="P749" s="149">
        <f>[3]תקבולים!P701-תשלומים!P749</f>
        <v>0</v>
      </c>
      <c r="Q749" s="148">
        <f>[3]תקבולים!Q701-תשלומים!Q749</f>
        <v>0</v>
      </c>
      <c r="R749" s="149">
        <f>[3]תקבולים!R701-תשלומים!R749</f>
        <v>0</v>
      </c>
      <c r="S749" s="148">
        <f>[3]תקבולים!S701-תשלומים!S749</f>
        <v>0</v>
      </c>
      <c r="T749" s="149">
        <f>T349-T748</f>
        <v>-0.24799999594688416</v>
      </c>
      <c r="U749" s="149">
        <f>U349-U748</f>
        <v>0</v>
      </c>
      <c r="V749" s="150"/>
      <c r="W749" s="150"/>
    </row>
  </sheetData>
  <autoFilter ref="B352:W749"/>
  <mergeCells count="3">
    <mergeCell ref="C3:D3"/>
    <mergeCell ref="C36:D36"/>
    <mergeCell ref="C39:D39"/>
  </mergeCells>
  <conditionalFormatting sqref="C349 C16 C39 B2:C3 C76">
    <cfRule type="cellIs" dxfId="979" priority="990" operator="equal">
      <formula>"110"</formula>
    </cfRule>
  </conditionalFormatting>
  <conditionalFormatting sqref="C229">
    <cfRule type="cellIs" dxfId="978" priority="978" operator="equal">
      <formula>"110"</formula>
    </cfRule>
  </conditionalFormatting>
  <conditionalFormatting sqref="C46">
    <cfRule type="cellIs" dxfId="977" priority="985" operator="equal">
      <formula>"110"</formula>
    </cfRule>
  </conditionalFormatting>
  <conditionalFormatting sqref="C34">
    <cfRule type="cellIs" dxfId="976" priority="989" operator="equal">
      <formula>"110"</formula>
    </cfRule>
  </conditionalFormatting>
  <conditionalFormatting sqref="C35">
    <cfRule type="cellIs" dxfId="975" priority="988" operator="equal">
      <formula>"110"</formula>
    </cfRule>
  </conditionalFormatting>
  <conditionalFormatting sqref="C38">
    <cfRule type="cellIs" dxfId="974" priority="987" operator="equal">
      <formula>"110"</formula>
    </cfRule>
  </conditionalFormatting>
  <conditionalFormatting sqref="C45">
    <cfRule type="cellIs" dxfId="973" priority="986" operator="equal">
      <formula>"110"</formula>
    </cfRule>
  </conditionalFormatting>
  <conditionalFormatting sqref="C60">
    <cfRule type="cellIs" dxfId="972" priority="984" operator="equal">
      <formula>"110"</formula>
    </cfRule>
  </conditionalFormatting>
  <conditionalFormatting sqref="C67">
    <cfRule type="cellIs" dxfId="971" priority="983" operator="equal">
      <formula>"110"</formula>
    </cfRule>
  </conditionalFormatting>
  <conditionalFormatting sqref="C77">
    <cfRule type="cellIs" dxfId="970" priority="982" operator="equal">
      <formula>"110"</formula>
    </cfRule>
  </conditionalFormatting>
  <conditionalFormatting sqref="C115">
    <cfRule type="cellIs" dxfId="969" priority="981" operator="equal">
      <formula>"110"</formula>
    </cfRule>
  </conditionalFormatting>
  <conditionalFormatting sqref="C118">
    <cfRule type="cellIs" dxfId="968" priority="980" operator="equal">
      <formula>"110"</formula>
    </cfRule>
  </conditionalFormatting>
  <conditionalFormatting sqref="C166">
    <cfRule type="cellIs" dxfId="967" priority="979" operator="equal">
      <formula>"110"</formula>
    </cfRule>
  </conditionalFormatting>
  <conditionalFormatting sqref="C230">
    <cfRule type="cellIs" dxfId="966" priority="977" operator="equal">
      <formula>"110"</formula>
    </cfRule>
  </conditionalFormatting>
  <conditionalFormatting sqref="C245">
    <cfRule type="cellIs" dxfId="965" priority="976" operator="equal">
      <formula>"110"</formula>
    </cfRule>
  </conditionalFormatting>
  <conditionalFormatting sqref="C248">
    <cfRule type="cellIs" dxfId="964" priority="975" operator="equal">
      <formula>"110"</formula>
    </cfRule>
  </conditionalFormatting>
  <conditionalFormatting sqref="C253">
    <cfRule type="cellIs" dxfId="963" priority="974" operator="equal">
      <formula>"110"</formula>
    </cfRule>
  </conditionalFormatting>
  <conditionalFormatting sqref="C271">
    <cfRule type="cellIs" dxfId="962" priority="973" operator="equal">
      <formula>"110"</formula>
    </cfRule>
  </conditionalFormatting>
  <conditionalFormatting sqref="C285">
    <cfRule type="cellIs" dxfId="961" priority="972" operator="equal">
      <formula>"110"</formula>
    </cfRule>
  </conditionalFormatting>
  <conditionalFormatting sqref="C292">
    <cfRule type="cellIs" dxfId="960" priority="971" operator="equal">
      <formula>"110"</formula>
    </cfRule>
  </conditionalFormatting>
  <conditionalFormatting sqref="C304">
    <cfRule type="cellIs" dxfId="959" priority="970" operator="equal">
      <formula>"110"</formula>
    </cfRule>
  </conditionalFormatting>
  <conditionalFormatting sqref="C317">
    <cfRule type="cellIs" dxfId="958" priority="969" operator="equal">
      <formula>"110"</formula>
    </cfRule>
  </conditionalFormatting>
  <conditionalFormatting sqref="C325">
    <cfRule type="cellIs" dxfId="957" priority="968" operator="equal">
      <formula>"110"</formula>
    </cfRule>
  </conditionalFormatting>
  <conditionalFormatting sqref="C326">
    <cfRule type="cellIs" dxfId="956" priority="967" operator="equal">
      <formula>"110"</formula>
    </cfRule>
  </conditionalFormatting>
  <conditionalFormatting sqref="C343">
    <cfRule type="cellIs" dxfId="955" priority="966" operator="equal">
      <formula>"110"</formula>
    </cfRule>
  </conditionalFormatting>
  <conditionalFormatting sqref="C348">
    <cfRule type="cellIs" dxfId="954" priority="965" operator="equal">
      <formula>"110"</formula>
    </cfRule>
  </conditionalFormatting>
  <conditionalFormatting sqref="C353 C428 C469:C474 C599 C641 C652 B708:C708 C748:O749 C377:C393 C477 W748:W749 V748 S748:U749">
    <cfRule type="cellIs" dxfId="953" priority="962" operator="equal">
      <formula>"110"</formula>
    </cfRule>
  </conditionalFormatting>
  <conditionalFormatting sqref="C353:O353 C377:D393 C469:D474 C641:O641 C428:O428 C477:O477 C599:O599 C652:O652 C708:O708 C715:O715 W715 W708 W652 W641 W599 W477 W428 U353 C748:O749 C745:E745 S745 S498 C498:E498 W748:W749 W353 V748 U498 U745 S748:U749">
    <cfRule type="expression" dxfId="952" priority="961">
      <formula>$C353="110"</formula>
    </cfRule>
  </conditionalFormatting>
  <conditionalFormatting sqref="B715">
    <cfRule type="cellIs" dxfId="951" priority="959" operator="equal">
      <formula>"110"</formula>
    </cfRule>
  </conditionalFormatting>
  <conditionalFormatting sqref="C715:I715 W715">
    <cfRule type="cellIs" dxfId="950" priority="958" operator="equal">
      <formula>"110"</formula>
    </cfRule>
  </conditionalFormatting>
  <conditionalFormatting sqref="B715">
    <cfRule type="cellIs" dxfId="949" priority="960" operator="equal">
      <formula>"110"</formula>
    </cfRule>
  </conditionalFormatting>
  <conditionalFormatting sqref="C353 C428 C469:C474 C599 C641 C652 C708 C715 C748:C749 C377:C393 C477">
    <cfRule type="cellIs" dxfId="948" priority="957" operator="equal">
      <formula>"310"</formula>
    </cfRule>
  </conditionalFormatting>
  <conditionalFormatting sqref="W357:W366 F357:O366 W377:W393 F377:O393 W470:W474 F469:O474 F745:O745 W745 F498:O498 W526 W523">
    <cfRule type="expression" dxfId="947" priority="964">
      <formula>$E357="110"</formula>
    </cfRule>
  </conditionalFormatting>
  <conditionalFormatting sqref="C357:C366">
    <cfRule type="cellIs" dxfId="946" priority="955" operator="equal">
      <formula>"110"</formula>
    </cfRule>
  </conditionalFormatting>
  <conditionalFormatting sqref="C357:D366">
    <cfRule type="expression" dxfId="945" priority="954">
      <formula>$C357="110"</formula>
    </cfRule>
  </conditionalFormatting>
  <conditionalFormatting sqref="C357:C366">
    <cfRule type="cellIs" dxfId="944" priority="953" operator="equal">
      <formula>"310"</formula>
    </cfRule>
  </conditionalFormatting>
  <conditionalFormatting sqref="U357:U366">
    <cfRule type="expression" dxfId="943" priority="952">
      <formula>$C357="110"</formula>
    </cfRule>
  </conditionalFormatting>
  <conditionalFormatting sqref="C354">
    <cfRule type="cellIs" dxfId="942" priority="951" operator="equal">
      <formula>"110"</formula>
    </cfRule>
  </conditionalFormatting>
  <conditionalFormatting sqref="U354 C354:O354">
    <cfRule type="expression" dxfId="941" priority="950">
      <formula>$C354="110"</formula>
    </cfRule>
  </conditionalFormatting>
  <conditionalFormatting sqref="C354">
    <cfRule type="cellIs" dxfId="940" priority="949" operator="equal">
      <formula>"310"</formula>
    </cfRule>
  </conditionalFormatting>
  <conditionalFormatting sqref="C368:C369">
    <cfRule type="cellIs" dxfId="939" priority="948" operator="equal">
      <formula>"110"</formula>
    </cfRule>
  </conditionalFormatting>
  <conditionalFormatting sqref="C368:O369 U368:U369 W368:W369">
    <cfRule type="expression" dxfId="938" priority="947">
      <formula>$C368="110"</formula>
    </cfRule>
  </conditionalFormatting>
  <conditionalFormatting sqref="C368:C369">
    <cfRule type="cellIs" dxfId="937" priority="946" operator="equal">
      <formula>"310"</formula>
    </cfRule>
  </conditionalFormatting>
  <conditionalFormatting sqref="W372 F372:O372">
    <cfRule type="expression" dxfId="936" priority="945">
      <formula>$E372="110"</formula>
    </cfRule>
  </conditionalFormatting>
  <conditionalFormatting sqref="C372">
    <cfRule type="cellIs" dxfId="935" priority="944" operator="equal">
      <formula>"110"</formula>
    </cfRule>
  </conditionalFormatting>
  <conditionalFormatting sqref="C372:D372">
    <cfRule type="expression" dxfId="934" priority="943">
      <formula>$C372="110"</formula>
    </cfRule>
  </conditionalFormatting>
  <conditionalFormatting sqref="C372">
    <cfRule type="cellIs" dxfId="933" priority="942" operator="equal">
      <formula>"310"</formula>
    </cfRule>
  </conditionalFormatting>
  <conditionalFormatting sqref="C374">
    <cfRule type="cellIs" dxfId="932" priority="941" operator="equal">
      <formula>"110"</formula>
    </cfRule>
  </conditionalFormatting>
  <conditionalFormatting sqref="U374 C374:O374 W374">
    <cfRule type="expression" dxfId="931" priority="940">
      <formula>$C374="110"</formula>
    </cfRule>
  </conditionalFormatting>
  <conditionalFormatting sqref="C374">
    <cfRule type="cellIs" dxfId="930" priority="939" operator="equal">
      <formula>"310"</formula>
    </cfRule>
  </conditionalFormatting>
  <conditionalFormatting sqref="E357:E366">
    <cfRule type="expression" dxfId="929" priority="938">
      <formula>$C357="110"</formula>
    </cfRule>
  </conditionalFormatting>
  <conditionalFormatting sqref="E372">
    <cfRule type="expression" dxfId="928" priority="937">
      <formula>$C372="110"</formula>
    </cfRule>
  </conditionalFormatting>
  <conditionalFormatting sqref="E377:E393">
    <cfRule type="expression" dxfId="927" priority="936">
      <formula>$C377="110"</formula>
    </cfRule>
  </conditionalFormatting>
  <conditionalFormatting sqref="C396:D398">
    <cfRule type="expression" dxfId="926" priority="933">
      <formula>$C396="110"</formula>
    </cfRule>
  </conditionalFormatting>
  <conditionalFormatting sqref="E420:E421">
    <cfRule type="expression" dxfId="925" priority="909">
      <formula>$C420="110"</formula>
    </cfRule>
  </conditionalFormatting>
  <conditionalFormatting sqref="C396:C398">
    <cfRule type="cellIs" dxfId="924" priority="934" operator="equal">
      <formula>"110"</formula>
    </cfRule>
  </conditionalFormatting>
  <conditionalFormatting sqref="C396:C398">
    <cfRule type="cellIs" dxfId="923" priority="932" operator="equal">
      <formula>"310"</formula>
    </cfRule>
  </conditionalFormatting>
  <conditionalFormatting sqref="W396:W398 F396:O398">
    <cfRule type="expression" dxfId="922" priority="935">
      <formula>$E396="110"</formula>
    </cfRule>
  </conditionalFormatting>
  <conditionalFormatting sqref="E396:E398">
    <cfRule type="expression" dxfId="921" priority="931">
      <formula>$C396="110"</formula>
    </cfRule>
  </conditionalFormatting>
  <conditionalFormatting sqref="C400">
    <cfRule type="cellIs" dxfId="920" priority="929" operator="equal">
      <formula>"110"</formula>
    </cfRule>
  </conditionalFormatting>
  <conditionalFormatting sqref="C400:D400">
    <cfRule type="expression" dxfId="919" priority="928">
      <formula>$C400="110"</formula>
    </cfRule>
  </conditionalFormatting>
  <conditionalFormatting sqref="C400">
    <cfRule type="cellIs" dxfId="918" priority="927" operator="equal">
      <formula>"310"</formula>
    </cfRule>
  </conditionalFormatting>
  <conditionalFormatting sqref="W400 F400:O400">
    <cfRule type="expression" dxfId="917" priority="930">
      <formula>$E400="110"</formula>
    </cfRule>
  </conditionalFormatting>
  <conditionalFormatting sqref="E400">
    <cfRule type="expression" dxfId="916" priority="926">
      <formula>$C400="110"</formula>
    </cfRule>
  </conditionalFormatting>
  <conditionalFormatting sqref="E403:E405 E407:E408 E411:E412 E414">
    <cfRule type="expression" dxfId="915" priority="921">
      <formula>$C403="110"</formula>
    </cfRule>
  </conditionalFormatting>
  <conditionalFormatting sqref="C403:C405 C407:C408 C411:C412 C414">
    <cfRule type="cellIs" dxfId="914" priority="924" operator="equal">
      <formula>"110"</formula>
    </cfRule>
  </conditionalFormatting>
  <conditionalFormatting sqref="C403:D405 C407:D408 C411:D412 C414:D414">
    <cfRule type="expression" dxfId="913" priority="923">
      <formula>$C403="110"</formula>
    </cfRule>
  </conditionalFormatting>
  <conditionalFormatting sqref="C403:C405 C407:C408 C411:C412 C414">
    <cfRule type="cellIs" dxfId="912" priority="922" operator="equal">
      <formula>"310"</formula>
    </cfRule>
  </conditionalFormatting>
  <conditionalFormatting sqref="W403:W405 F403:O405 W411:W412 W407:W408 F407:O408 F411:O412 F414:O414">
    <cfRule type="expression" dxfId="911" priority="925">
      <formula>$E403="110"</formula>
    </cfRule>
  </conditionalFormatting>
  <conditionalFormatting sqref="U414">
    <cfRule type="expression" dxfId="910" priority="920">
      <formula>$C414="110"</formula>
    </cfRule>
  </conditionalFormatting>
  <conditionalFormatting sqref="E416:E418">
    <cfRule type="expression" dxfId="909" priority="915">
      <formula>$C416="110"</formula>
    </cfRule>
  </conditionalFormatting>
  <conditionalFormatting sqref="C416:C418">
    <cfRule type="cellIs" dxfId="908" priority="918" operator="equal">
      <formula>"110"</formula>
    </cfRule>
  </conditionalFormatting>
  <conditionalFormatting sqref="C416:D418">
    <cfRule type="expression" dxfId="907" priority="917">
      <formula>$C416="110"</formula>
    </cfRule>
  </conditionalFormatting>
  <conditionalFormatting sqref="C416:C418">
    <cfRule type="cellIs" dxfId="906" priority="916" operator="equal">
      <formula>"310"</formula>
    </cfRule>
  </conditionalFormatting>
  <conditionalFormatting sqref="W416:W417 F416:O418">
    <cfRule type="expression" dxfId="905" priority="919">
      <formula>$E416="110"</formula>
    </cfRule>
  </conditionalFormatting>
  <conditionalFormatting sqref="U418 U416">
    <cfRule type="expression" dxfId="904" priority="914">
      <formula>$C416="110"</formula>
    </cfRule>
  </conditionalFormatting>
  <conditionalFormatting sqref="C420:C421">
    <cfRule type="cellIs" dxfId="903" priority="912" operator="equal">
      <formula>"110"</formula>
    </cfRule>
  </conditionalFormatting>
  <conditionalFormatting sqref="C420:D421">
    <cfRule type="expression" dxfId="902" priority="911">
      <formula>$C420="110"</formula>
    </cfRule>
  </conditionalFormatting>
  <conditionalFormatting sqref="C420:C421">
    <cfRule type="cellIs" dxfId="901" priority="910" operator="equal">
      <formula>"310"</formula>
    </cfRule>
  </conditionalFormatting>
  <conditionalFormatting sqref="W420:W421 F420:O421">
    <cfRule type="expression" dxfId="900" priority="913">
      <formula>$E420="110"</formula>
    </cfRule>
  </conditionalFormatting>
  <conditionalFormatting sqref="E423:E425">
    <cfRule type="expression" dxfId="899" priority="904">
      <formula>$C423="110"</formula>
    </cfRule>
  </conditionalFormatting>
  <conditionalFormatting sqref="C423:C425">
    <cfRule type="cellIs" dxfId="898" priority="907" operator="equal">
      <formula>"110"</formula>
    </cfRule>
  </conditionalFormatting>
  <conditionalFormatting sqref="C423:D425">
    <cfRule type="expression" dxfId="897" priority="906">
      <formula>$C423="110"</formula>
    </cfRule>
  </conditionalFormatting>
  <conditionalFormatting sqref="C423:C425">
    <cfRule type="cellIs" dxfId="896" priority="905" operator="equal">
      <formula>"310"</formula>
    </cfRule>
  </conditionalFormatting>
  <conditionalFormatting sqref="W423:W425 F423:O425">
    <cfRule type="expression" dxfId="895" priority="908">
      <formula>$E423="110"</formula>
    </cfRule>
  </conditionalFormatting>
  <conditionalFormatting sqref="E429:E439">
    <cfRule type="expression" dxfId="894" priority="899">
      <formula>$C429="110"</formula>
    </cfRule>
  </conditionalFormatting>
  <conditionalFormatting sqref="C429:C439">
    <cfRule type="cellIs" dxfId="893" priority="902" operator="equal">
      <formula>"110"</formula>
    </cfRule>
  </conditionalFormatting>
  <conditionalFormatting sqref="C429:D439">
    <cfRule type="expression" dxfId="892" priority="901">
      <formula>$C429="110"</formula>
    </cfRule>
  </conditionalFormatting>
  <conditionalFormatting sqref="C429:C439">
    <cfRule type="cellIs" dxfId="891" priority="900" operator="equal">
      <formula>"310"</formula>
    </cfRule>
  </conditionalFormatting>
  <conditionalFormatting sqref="W429 F429:O439 W431:W434 W436:W439">
    <cfRule type="expression" dxfId="890" priority="903">
      <formula>$E429="110"</formula>
    </cfRule>
  </conditionalFormatting>
  <conditionalFormatting sqref="U435 U430">
    <cfRule type="expression" dxfId="889" priority="898">
      <formula>$C430="110"</formula>
    </cfRule>
  </conditionalFormatting>
  <conditionalFormatting sqref="E441:E443">
    <cfRule type="expression" dxfId="888" priority="893">
      <formula>$C441="110"</formula>
    </cfRule>
  </conditionalFormatting>
  <conditionalFormatting sqref="C441:C443">
    <cfRule type="cellIs" dxfId="887" priority="896" operator="equal">
      <formula>"110"</formula>
    </cfRule>
  </conditionalFormatting>
  <conditionalFormatting sqref="C441:D443">
    <cfRule type="expression" dxfId="886" priority="895">
      <formula>$C441="110"</formula>
    </cfRule>
  </conditionalFormatting>
  <conditionalFormatting sqref="C441:C443">
    <cfRule type="cellIs" dxfId="885" priority="894" operator="equal">
      <formula>"310"</formula>
    </cfRule>
  </conditionalFormatting>
  <conditionalFormatting sqref="W441:W443 F441:O443">
    <cfRule type="expression" dxfId="884" priority="897">
      <formula>$E441="110"</formula>
    </cfRule>
  </conditionalFormatting>
  <conditionalFormatting sqref="E445:E452">
    <cfRule type="expression" dxfId="883" priority="888">
      <formula>$C445="110"</formula>
    </cfRule>
  </conditionalFormatting>
  <conditionalFormatting sqref="C445:C452">
    <cfRule type="cellIs" dxfId="882" priority="891" operator="equal">
      <formula>"110"</formula>
    </cfRule>
  </conditionalFormatting>
  <conditionalFormatting sqref="C445:D452">
    <cfRule type="expression" dxfId="881" priority="890">
      <formula>$C445="110"</formula>
    </cfRule>
  </conditionalFormatting>
  <conditionalFormatting sqref="C445:C452">
    <cfRule type="cellIs" dxfId="880" priority="889" operator="equal">
      <formula>"310"</formula>
    </cfRule>
  </conditionalFormatting>
  <conditionalFormatting sqref="W446:W452 F445:O452">
    <cfRule type="expression" dxfId="879" priority="892">
      <formula>$E445="110"</formula>
    </cfRule>
  </conditionalFormatting>
  <conditionalFormatting sqref="U445">
    <cfRule type="expression" dxfId="878" priority="887">
      <formula>$C445="110"</formula>
    </cfRule>
  </conditionalFormatting>
  <conditionalFormatting sqref="U448">
    <cfRule type="expression" dxfId="877" priority="886">
      <formula>$C448="110"</formula>
    </cfRule>
  </conditionalFormatting>
  <conditionalFormatting sqref="U458">
    <cfRule type="expression" dxfId="876" priority="880">
      <formula>$C458="110"</formula>
    </cfRule>
  </conditionalFormatting>
  <conditionalFormatting sqref="E454:E467">
    <cfRule type="expression" dxfId="875" priority="881">
      <formula>$C454="110"</formula>
    </cfRule>
  </conditionalFormatting>
  <conditionalFormatting sqref="C454:C467">
    <cfRule type="cellIs" dxfId="874" priority="884" operator="equal">
      <formula>"110"</formula>
    </cfRule>
  </conditionalFormatting>
  <conditionalFormatting sqref="C454:D467">
    <cfRule type="expression" dxfId="873" priority="883">
      <formula>$C454="110"</formula>
    </cfRule>
  </conditionalFormatting>
  <conditionalFormatting sqref="C454:C467">
    <cfRule type="cellIs" dxfId="872" priority="882" operator="equal">
      <formula>"310"</formula>
    </cfRule>
  </conditionalFormatting>
  <conditionalFormatting sqref="W454:W467 F454:O467">
    <cfRule type="expression" dxfId="871" priority="885">
      <formula>$E454="110"</formula>
    </cfRule>
  </conditionalFormatting>
  <conditionalFormatting sqref="E469:E474">
    <cfRule type="expression" dxfId="870" priority="879">
      <formula>$C469="110"</formula>
    </cfRule>
  </conditionalFormatting>
  <conditionalFormatting sqref="U478">
    <cfRule type="expression" dxfId="869" priority="873">
      <formula>$C478="110"</formula>
    </cfRule>
  </conditionalFormatting>
  <conditionalFormatting sqref="C478:C484">
    <cfRule type="cellIs" dxfId="868" priority="877" operator="equal">
      <formula>"110"</formula>
    </cfRule>
  </conditionalFormatting>
  <conditionalFormatting sqref="C478:D484">
    <cfRule type="expression" dxfId="867" priority="876">
      <formula>$C478="110"</formula>
    </cfRule>
  </conditionalFormatting>
  <conditionalFormatting sqref="C478:C484">
    <cfRule type="cellIs" dxfId="866" priority="875" operator="equal">
      <formula>"310"</formula>
    </cfRule>
  </conditionalFormatting>
  <conditionalFormatting sqref="W479:W484 F478:O484">
    <cfRule type="expression" dxfId="865" priority="878">
      <formula>$E478="110"</formula>
    </cfRule>
  </conditionalFormatting>
  <conditionalFormatting sqref="E478:E484">
    <cfRule type="expression" dxfId="864" priority="874">
      <formula>$C478="110"</formula>
    </cfRule>
  </conditionalFormatting>
  <conditionalFormatting sqref="U487">
    <cfRule type="expression" dxfId="863" priority="867">
      <formula>$C487="110"</formula>
    </cfRule>
  </conditionalFormatting>
  <conditionalFormatting sqref="C486:C497">
    <cfRule type="cellIs" dxfId="862" priority="871" operator="equal">
      <formula>"110"</formula>
    </cfRule>
  </conditionalFormatting>
  <conditionalFormatting sqref="C486:D497">
    <cfRule type="expression" dxfId="861" priority="870">
      <formula>$C486="110"</formula>
    </cfRule>
  </conditionalFormatting>
  <conditionalFormatting sqref="C486:C497">
    <cfRule type="cellIs" dxfId="860" priority="869" operator="equal">
      <formula>"310"</formula>
    </cfRule>
  </conditionalFormatting>
  <conditionalFormatting sqref="W486 F486:O497 W488:W497">
    <cfRule type="expression" dxfId="859" priority="872">
      <formula>$E486="110"</formula>
    </cfRule>
  </conditionalFormatting>
  <conditionalFormatting sqref="E486:E497">
    <cfRule type="expression" dxfId="858" priority="868">
      <formula>$C486="110"</formula>
    </cfRule>
  </conditionalFormatting>
  <conditionalFormatting sqref="U523 U501">
    <cfRule type="expression" dxfId="857" priority="861">
      <formula>$C501="110"</formula>
    </cfRule>
  </conditionalFormatting>
  <conditionalFormatting sqref="C523:C526 C528:C530 C501:C521">
    <cfRule type="cellIs" dxfId="856" priority="865" operator="equal">
      <formula>"110"</formula>
    </cfRule>
  </conditionalFormatting>
  <conditionalFormatting sqref="C523:D526 C528:D530 C501:D521">
    <cfRule type="expression" dxfId="855" priority="864">
      <formula>$C501="110"</formula>
    </cfRule>
  </conditionalFormatting>
  <conditionalFormatting sqref="C523:C526 C528:C530 C501:C521">
    <cfRule type="cellIs" dxfId="854" priority="863" operator="equal">
      <formula>"310"</formula>
    </cfRule>
  </conditionalFormatting>
  <conditionalFormatting sqref="W502:W513 F501:O521 F523:O526 W528:W530 F528:O530 W515:W521">
    <cfRule type="expression" dxfId="853" priority="866">
      <formula>$E501="110"</formula>
    </cfRule>
  </conditionalFormatting>
  <conditionalFormatting sqref="E501:E521 E523:E526 E528:E530">
    <cfRule type="expression" dxfId="852" priority="862">
      <formula>$C501="110"</formula>
    </cfRule>
  </conditionalFormatting>
  <conditionalFormatting sqref="U518:U521 U514">
    <cfRule type="expression" dxfId="851" priority="860">
      <formula>$C514="110"</formula>
    </cfRule>
  </conditionalFormatting>
  <conditionalFormatting sqref="U532">
    <cfRule type="expression" dxfId="850" priority="854">
      <formula>$C532="110"</formula>
    </cfRule>
  </conditionalFormatting>
  <conditionalFormatting sqref="C532">
    <cfRule type="cellIs" dxfId="849" priority="858" operator="equal">
      <formula>"110"</formula>
    </cfRule>
  </conditionalFormatting>
  <conditionalFormatting sqref="C532:D532">
    <cfRule type="expression" dxfId="848" priority="857">
      <formula>$C532="110"</formula>
    </cfRule>
  </conditionalFormatting>
  <conditionalFormatting sqref="C532">
    <cfRule type="cellIs" dxfId="847" priority="856" operator="equal">
      <formula>"310"</formula>
    </cfRule>
  </conditionalFormatting>
  <conditionalFormatting sqref="W532 F532:O532">
    <cfRule type="expression" dxfId="846" priority="859">
      <formula>$E532="110"</formula>
    </cfRule>
  </conditionalFormatting>
  <conditionalFormatting sqref="E532">
    <cfRule type="expression" dxfId="845" priority="855">
      <formula>$C532="110"</formula>
    </cfRule>
  </conditionalFormatting>
  <conditionalFormatting sqref="C534:C570">
    <cfRule type="cellIs" dxfId="844" priority="852" operator="equal">
      <formula>"110"</formula>
    </cfRule>
  </conditionalFormatting>
  <conditionalFormatting sqref="C534:D570">
    <cfRule type="expression" dxfId="843" priority="851">
      <formula>$C534="110"</formula>
    </cfRule>
  </conditionalFormatting>
  <conditionalFormatting sqref="C534:C570">
    <cfRule type="cellIs" dxfId="842" priority="850" operator="equal">
      <formula>"310"</formula>
    </cfRule>
  </conditionalFormatting>
  <conditionalFormatting sqref="E534:E570">
    <cfRule type="expression" dxfId="841" priority="849">
      <formula>$C534="110"</formula>
    </cfRule>
  </conditionalFormatting>
  <conditionalFormatting sqref="U570 U566:U567 U534:U535">
    <cfRule type="expression" dxfId="840" priority="848">
      <formula>$C534="110"</formula>
    </cfRule>
  </conditionalFormatting>
  <conditionalFormatting sqref="F534:O570 W535:W565 W567:W569">
    <cfRule type="expression" dxfId="839" priority="853">
      <formula>$E534="110"</formula>
    </cfRule>
  </conditionalFormatting>
  <conditionalFormatting sqref="U572">
    <cfRule type="expression" dxfId="838" priority="842">
      <formula>$C572="110"</formula>
    </cfRule>
  </conditionalFormatting>
  <conditionalFormatting sqref="C572:C575">
    <cfRule type="cellIs" dxfId="837" priority="846" operator="equal">
      <formula>"110"</formula>
    </cfRule>
  </conditionalFormatting>
  <conditionalFormatting sqref="C572:D575">
    <cfRule type="expression" dxfId="836" priority="845">
      <formula>$C572="110"</formula>
    </cfRule>
  </conditionalFormatting>
  <conditionalFormatting sqref="C572:C575">
    <cfRule type="cellIs" dxfId="835" priority="844" operator="equal">
      <formula>"310"</formula>
    </cfRule>
  </conditionalFormatting>
  <conditionalFormatting sqref="E572:E575">
    <cfRule type="expression" dxfId="834" priority="843">
      <formula>$C572="110"</formula>
    </cfRule>
  </conditionalFormatting>
  <conditionalFormatting sqref="F572:O575 W573:W575">
    <cfRule type="expression" dxfId="833" priority="847">
      <formula>$E572="110"</formula>
    </cfRule>
  </conditionalFormatting>
  <conditionalFormatting sqref="C577:C581">
    <cfRule type="cellIs" dxfId="832" priority="840" operator="equal">
      <formula>"110"</formula>
    </cfRule>
  </conditionalFormatting>
  <conditionalFormatting sqref="C577:D581">
    <cfRule type="expression" dxfId="831" priority="839">
      <formula>$C577="110"</formula>
    </cfRule>
  </conditionalFormatting>
  <conditionalFormatting sqref="C577:C581">
    <cfRule type="cellIs" dxfId="830" priority="838" operator="equal">
      <formula>"310"</formula>
    </cfRule>
  </conditionalFormatting>
  <conditionalFormatting sqref="E577:E581">
    <cfRule type="expression" dxfId="829" priority="837">
      <formula>$C577="110"</formula>
    </cfRule>
  </conditionalFormatting>
  <conditionalFormatting sqref="F577:O581 W578:W581">
    <cfRule type="expression" dxfId="828" priority="841">
      <formula>$E577="110"</formula>
    </cfRule>
  </conditionalFormatting>
  <conditionalFormatting sqref="C583:C596">
    <cfRule type="cellIs" dxfId="827" priority="835" operator="equal">
      <formula>"110"</formula>
    </cfRule>
  </conditionalFormatting>
  <conditionalFormatting sqref="C583:D596">
    <cfRule type="expression" dxfId="826" priority="834">
      <formula>$C583="110"</formula>
    </cfRule>
  </conditionalFormatting>
  <conditionalFormatting sqref="C583:C596">
    <cfRule type="cellIs" dxfId="825" priority="833" operator="equal">
      <formula>"310"</formula>
    </cfRule>
  </conditionalFormatting>
  <conditionalFormatting sqref="E583:E596">
    <cfRule type="expression" dxfId="824" priority="832">
      <formula>$C583="110"</formula>
    </cfRule>
  </conditionalFormatting>
  <conditionalFormatting sqref="F583:O596 W584:W596">
    <cfRule type="expression" dxfId="823" priority="836">
      <formula>$E583="110"</formula>
    </cfRule>
  </conditionalFormatting>
  <conditionalFormatting sqref="U596 U583">
    <cfRule type="expression" dxfId="822" priority="831">
      <formula>$C583="110"</formula>
    </cfRule>
  </conditionalFormatting>
  <conditionalFormatting sqref="U621 U617 U615 U612:U613 U606">
    <cfRule type="expression" dxfId="821" priority="825">
      <formula>$C606="110"</formula>
    </cfRule>
  </conditionalFormatting>
  <conditionalFormatting sqref="C601:C623">
    <cfRule type="cellIs" dxfId="820" priority="829" operator="equal">
      <formula>"110"</formula>
    </cfRule>
  </conditionalFormatting>
  <conditionalFormatting sqref="C601:D623">
    <cfRule type="expression" dxfId="819" priority="828">
      <formula>$C601="110"</formula>
    </cfRule>
  </conditionalFormatting>
  <conditionalFormatting sqref="C601:C623">
    <cfRule type="cellIs" dxfId="818" priority="827" operator="equal">
      <formula>"310"</formula>
    </cfRule>
  </conditionalFormatting>
  <conditionalFormatting sqref="E601:E623">
    <cfRule type="expression" dxfId="817" priority="826">
      <formula>$C601="110"</formula>
    </cfRule>
  </conditionalFormatting>
  <conditionalFormatting sqref="F601:O623 W601:W611 I600:O600 W614 W616:W623">
    <cfRule type="expression" dxfId="816" priority="830">
      <formula>$E600="110"</formula>
    </cfRule>
  </conditionalFormatting>
  <conditionalFormatting sqref="U634 U625">
    <cfRule type="expression" dxfId="815" priority="819">
      <formula>$C625="110"</formula>
    </cfRule>
  </conditionalFormatting>
  <conditionalFormatting sqref="C625:C638">
    <cfRule type="cellIs" dxfId="814" priority="823" operator="equal">
      <formula>"110"</formula>
    </cfRule>
  </conditionalFormatting>
  <conditionalFormatting sqref="C625:D638">
    <cfRule type="expression" dxfId="813" priority="822">
      <formula>$C625="110"</formula>
    </cfRule>
  </conditionalFormatting>
  <conditionalFormatting sqref="C625:C638">
    <cfRule type="cellIs" dxfId="812" priority="821" operator="equal">
      <formula>"310"</formula>
    </cfRule>
  </conditionalFormatting>
  <conditionalFormatting sqref="E625:E638">
    <cfRule type="expression" dxfId="811" priority="820">
      <formula>$C625="110"</formula>
    </cfRule>
  </conditionalFormatting>
  <conditionalFormatting sqref="F625:O638 W626:W638">
    <cfRule type="expression" dxfId="810" priority="824">
      <formula>$E625="110"</formula>
    </cfRule>
  </conditionalFormatting>
  <conditionalFormatting sqref="U642">
    <cfRule type="expression" dxfId="809" priority="813">
      <formula>$C642="110"</formula>
    </cfRule>
  </conditionalFormatting>
  <conditionalFormatting sqref="C642:C650">
    <cfRule type="cellIs" dxfId="808" priority="817" operator="equal">
      <formula>"110"</formula>
    </cfRule>
  </conditionalFormatting>
  <conditionalFormatting sqref="C642:D650">
    <cfRule type="expression" dxfId="807" priority="816">
      <formula>$C642="110"</formula>
    </cfRule>
  </conditionalFormatting>
  <conditionalFormatting sqref="C642:C650">
    <cfRule type="cellIs" dxfId="806" priority="815" operator="equal">
      <formula>"310"</formula>
    </cfRule>
  </conditionalFormatting>
  <conditionalFormatting sqref="E642:E650">
    <cfRule type="expression" dxfId="805" priority="814">
      <formula>$C642="110"</formula>
    </cfRule>
  </conditionalFormatting>
  <conditionalFormatting sqref="F642:O650 W643:W650">
    <cfRule type="expression" dxfId="804" priority="818">
      <formula>$E642="110"</formula>
    </cfRule>
  </conditionalFormatting>
  <conditionalFormatting sqref="U653">
    <cfRule type="expression" dxfId="803" priority="807">
      <formula>$C653="110"</formula>
    </cfRule>
  </conditionalFormatting>
  <conditionalFormatting sqref="C653:C663">
    <cfRule type="cellIs" dxfId="802" priority="811" operator="equal">
      <formula>"110"</formula>
    </cfRule>
  </conditionalFormatting>
  <conditionalFormatting sqref="C653:D663">
    <cfRule type="expression" dxfId="801" priority="810">
      <formula>$C653="110"</formula>
    </cfRule>
  </conditionalFormatting>
  <conditionalFormatting sqref="C653:C663">
    <cfRule type="cellIs" dxfId="800" priority="809" operator="equal">
      <formula>"310"</formula>
    </cfRule>
  </conditionalFormatting>
  <conditionalFormatting sqref="E653:E663">
    <cfRule type="expression" dxfId="799" priority="808">
      <formula>$C653="110"</formula>
    </cfRule>
  </conditionalFormatting>
  <conditionalFormatting sqref="F653:O663 W653:W663">
    <cfRule type="expression" dxfId="798" priority="812">
      <formula>$E653="110"</formula>
    </cfRule>
  </conditionalFormatting>
  <conditionalFormatting sqref="U665">
    <cfRule type="expression" dxfId="797" priority="801">
      <formula>$C665="110"</formula>
    </cfRule>
  </conditionalFormatting>
  <conditionalFormatting sqref="C665:C676">
    <cfRule type="cellIs" dxfId="796" priority="805" operator="equal">
      <formula>"110"</formula>
    </cfRule>
  </conditionalFormatting>
  <conditionalFormatting sqref="C665:D676">
    <cfRule type="expression" dxfId="795" priority="804">
      <formula>$C665="110"</formula>
    </cfRule>
  </conditionalFormatting>
  <conditionalFormatting sqref="C665:C676">
    <cfRule type="cellIs" dxfId="794" priority="803" operator="equal">
      <formula>"310"</formula>
    </cfRule>
  </conditionalFormatting>
  <conditionalFormatting sqref="E665:E676">
    <cfRule type="expression" dxfId="793" priority="802">
      <formula>$C665="110"</formula>
    </cfRule>
  </conditionalFormatting>
  <conditionalFormatting sqref="F665:O676 W666:W676">
    <cfRule type="expression" dxfId="792" priority="806">
      <formula>$E665="110"</formula>
    </cfRule>
  </conditionalFormatting>
  <conditionalFormatting sqref="C678:C682">
    <cfRule type="cellIs" dxfId="791" priority="799" operator="equal">
      <formula>"110"</formula>
    </cfRule>
  </conditionalFormatting>
  <conditionalFormatting sqref="C678:D682">
    <cfRule type="expression" dxfId="790" priority="798">
      <formula>$C678="110"</formula>
    </cfRule>
  </conditionalFormatting>
  <conditionalFormatting sqref="C678:C682">
    <cfRule type="cellIs" dxfId="789" priority="797" operator="equal">
      <formula>"310"</formula>
    </cfRule>
  </conditionalFormatting>
  <conditionalFormatting sqref="E678:E682">
    <cfRule type="expression" dxfId="788" priority="796">
      <formula>$C678="110"</formula>
    </cfRule>
  </conditionalFormatting>
  <conditionalFormatting sqref="F678:O682 W678:W682">
    <cfRule type="expression" dxfId="787" priority="800">
      <formula>$E678="110"</formula>
    </cfRule>
  </conditionalFormatting>
  <conditionalFormatting sqref="U684">
    <cfRule type="expression" dxfId="786" priority="790">
      <formula>$C684="110"</formula>
    </cfRule>
  </conditionalFormatting>
  <conditionalFormatting sqref="C684:C688">
    <cfRule type="cellIs" dxfId="785" priority="794" operator="equal">
      <formula>"110"</formula>
    </cfRule>
  </conditionalFormatting>
  <conditionalFormatting sqref="C684:D688">
    <cfRule type="expression" dxfId="784" priority="793">
      <formula>$C684="110"</formula>
    </cfRule>
  </conditionalFormatting>
  <conditionalFormatting sqref="C684:C688">
    <cfRule type="cellIs" dxfId="783" priority="792" operator="equal">
      <formula>"310"</formula>
    </cfRule>
  </conditionalFormatting>
  <conditionalFormatting sqref="E684:E688">
    <cfRule type="expression" dxfId="782" priority="791">
      <formula>$C684="110"</formula>
    </cfRule>
  </conditionalFormatting>
  <conditionalFormatting sqref="F684:O688 W685:W688">
    <cfRule type="expression" dxfId="781" priority="795">
      <formula>$E684="110"</formula>
    </cfRule>
  </conditionalFormatting>
  <conditionalFormatting sqref="C690:C696">
    <cfRule type="cellIs" dxfId="780" priority="788" operator="equal">
      <formula>"110"</formula>
    </cfRule>
  </conditionalFormatting>
  <conditionalFormatting sqref="C690:D696">
    <cfRule type="expression" dxfId="779" priority="787">
      <formula>$C690="110"</formula>
    </cfRule>
  </conditionalFormatting>
  <conditionalFormatting sqref="C690:C696">
    <cfRule type="cellIs" dxfId="778" priority="786" operator="equal">
      <formula>"310"</formula>
    </cfRule>
  </conditionalFormatting>
  <conditionalFormatting sqref="E690:E696">
    <cfRule type="expression" dxfId="777" priority="785">
      <formula>$C690="110"</formula>
    </cfRule>
  </conditionalFormatting>
  <conditionalFormatting sqref="F690:O696 W690:W696">
    <cfRule type="expression" dxfId="776" priority="789">
      <formula>$E690="110"</formula>
    </cfRule>
  </conditionalFormatting>
  <conditionalFormatting sqref="C698:C705">
    <cfRule type="cellIs" dxfId="775" priority="783" operator="equal">
      <formula>"110"</formula>
    </cfRule>
  </conditionalFormatting>
  <conditionalFormatting sqref="C698:D705">
    <cfRule type="expression" dxfId="774" priority="782">
      <formula>$C698="110"</formula>
    </cfRule>
  </conditionalFormatting>
  <conditionalFormatting sqref="C698:C705">
    <cfRule type="cellIs" dxfId="773" priority="781" operator="equal">
      <formula>"310"</formula>
    </cfRule>
  </conditionalFormatting>
  <conditionalFormatting sqref="E698:E705">
    <cfRule type="expression" dxfId="772" priority="780">
      <formula>$C698="110"</formula>
    </cfRule>
  </conditionalFormatting>
  <conditionalFormatting sqref="F698:O705 W698:W705">
    <cfRule type="expression" dxfId="771" priority="784">
      <formula>$E698="110"</formula>
    </cfRule>
  </conditionalFormatting>
  <conditionalFormatting sqref="C709:C713">
    <cfRule type="cellIs" dxfId="770" priority="778" operator="equal">
      <formula>"110"</formula>
    </cfRule>
  </conditionalFormatting>
  <conditionalFormatting sqref="C709:D713">
    <cfRule type="expression" dxfId="769" priority="777">
      <formula>$C709="110"</formula>
    </cfRule>
  </conditionalFormatting>
  <conditionalFormatting sqref="C709:C713">
    <cfRule type="cellIs" dxfId="768" priority="776" operator="equal">
      <formula>"310"</formula>
    </cfRule>
  </conditionalFormatting>
  <conditionalFormatting sqref="E709:E713">
    <cfRule type="expression" dxfId="767" priority="775">
      <formula>$C709="110"</formula>
    </cfRule>
  </conditionalFormatting>
  <conditionalFormatting sqref="F709:O713 W709:W713">
    <cfRule type="expression" dxfId="766" priority="779">
      <formula>$E709="110"</formula>
    </cfRule>
  </conditionalFormatting>
  <conditionalFormatting sqref="U744 U728 U720 U716">
    <cfRule type="expression" dxfId="765" priority="769">
      <formula>$C716="110"</formula>
    </cfRule>
  </conditionalFormatting>
  <conditionalFormatting sqref="C716:C744">
    <cfRule type="cellIs" dxfId="764" priority="773" operator="equal">
      <formula>"110"</formula>
    </cfRule>
  </conditionalFormatting>
  <conditionalFormatting sqref="C716:D744">
    <cfRule type="expression" dxfId="763" priority="772">
      <formula>$C716="110"</formula>
    </cfRule>
  </conditionalFormatting>
  <conditionalFormatting sqref="C716:C744">
    <cfRule type="cellIs" dxfId="762" priority="771" operator="equal">
      <formula>"310"</formula>
    </cfRule>
  </conditionalFormatting>
  <conditionalFormatting sqref="E716:E744">
    <cfRule type="expression" dxfId="761" priority="770">
      <formula>$C716="110"</formula>
    </cfRule>
  </conditionalFormatting>
  <conditionalFormatting sqref="F716:O744 W717:W719 W721:W727 W729:W744">
    <cfRule type="expression" dxfId="760" priority="774">
      <formula>$E716="110"</formula>
    </cfRule>
  </conditionalFormatting>
  <conditionalFormatting sqref="U372">
    <cfRule type="expression" dxfId="759" priority="768">
      <formula>$C372="110"</formula>
    </cfRule>
  </conditionalFormatting>
  <conditionalFormatting sqref="U377:U393">
    <cfRule type="expression" dxfId="758" priority="767">
      <formula>$C377="110"</formula>
    </cfRule>
  </conditionalFormatting>
  <conditionalFormatting sqref="U396:U398">
    <cfRule type="expression" dxfId="757" priority="766">
      <formula>$C396="110"</formula>
    </cfRule>
  </conditionalFormatting>
  <conditionalFormatting sqref="U400">
    <cfRule type="expression" dxfId="756" priority="765">
      <formula>$C400="110"</formula>
    </cfRule>
  </conditionalFormatting>
  <conditionalFormatting sqref="U403:U405 U407:U408 U411:U412">
    <cfRule type="expression" dxfId="755" priority="764">
      <formula>$C403="110"</formula>
    </cfRule>
  </conditionalFormatting>
  <conditionalFormatting sqref="U417">
    <cfRule type="expression" dxfId="754" priority="763">
      <formula>$C417="110"</formula>
    </cfRule>
  </conditionalFormatting>
  <conditionalFormatting sqref="U423:U425">
    <cfRule type="expression" dxfId="753" priority="762">
      <formula>$C423="110"</formula>
    </cfRule>
  </conditionalFormatting>
  <conditionalFormatting sqref="U428:U429 U431:U434 U436:U439">
    <cfRule type="expression" dxfId="752" priority="761">
      <formula>$C428="110"</formula>
    </cfRule>
  </conditionalFormatting>
  <conditionalFormatting sqref="U441">
    <cfRule type="expression" dxfId="751" priority="760">
      <formula>$C441="110"</formula>
    </cfRule>
  </conditionalFormatting>
  <conditionalFormatting sqref="U443">
    <cfRule type="expression" dxfId="750" priority="759">
      <formula>$C443="110"</formula>
    </cfRule>
  </conditionalFormatting>
  <conditionalFormatting sqref="U442">
    <cfRule type="expression" dxfId="749" priority="758">
      <formula>$C442="110"</formula>
    </cfRule>
  </conditionalFormatting>
  <conditionalFormatting sqref="U446:U447 U449:U452">
    <cfRule type="expression" dxfId="748" priority="757">
      <formula>$C446="110"</formula>
    </cfRule>
  </conditionalFormatting>
  <conditionalFormatting sqref="U454:U457 U459:U467">
    <cfRule type="expression" dxfId="747" priority="756">
      <formula>$C454="110"</formula>
    </cfRule>
  </conditionalFormatting>
  <conditionalFormatting sqref="U470:U474">
    <cfRule type="expression" dxfId="746" priority="755">
      <formula>$C470="110"</formula>
    </cfRule>
  </conditionalFormatting>
  <conditionalFormatting sqref="U477 U479:U484">
    <cfRule type="expression" dxfId="745" priority="754">
      <formula>$C477="110"</formula>
    </cfRule>
  </conditionalFormatting>
  <conditionalFormatting sqref="U486 U488:U497">
    <cfRule type="expression" dxfId="744" priority="753">
      <formula>$C486="110"</formula>
    </cfRule>
  </conditionalFormatting>
  <conditionalFormatting sqref="U502:U503 U515:U517 U505:U513">
    <cfRule type="expression" dxfId="743" priority="752">
      <formula>$C502="110"</formula>
    </cfRule>
  </conditionalFormatting>
  <conditionalFormatting sqref="U524:U526">
    <cfRule type="expression" dxfId="742" priority="751">
      <formula>$C524="110"</formula>
    </cfRule>
  </conditionalFormatting>
  <conditionalFormatting sqref="U528:U530">
    <cfRule type="expression" dxfId="741" priority="750">
      <formula>$C528="110"</formula>
    </cfRule>
  </conditionalFormatting>
  <conditionalFormatting sqref="U536:U565 U568:U569">
    <cfRule type="expression" dxfId="740" priority="749">
      <formula>$C536="110"</formula>
    </cfRule>
  </conditionalFormatting>
  <conditionalFormatting sqref="U573:U575">
    <cfRule type="expression" dxfId="739" priority="748">
      <formula>$C573="110"</formula>
    </cfRule>
  </conditionalFormatting>
  <conditionalFormatting sqref="U578:U581">
    <cfRule type="expression" dxfId="738" priority="747">
      <formula>$C578="110"</formula>
    </cfRule>
  </conditionalFormatting>
  <conditionalFormatting sqref="U584:U595">
    <cfRule type="expression" dxfId="737" priority="746">
      <formula>$C584="110"</formula>
    </cfRule>
  </conditionalFormatting>
  <conditionalFormatting sqref="U599:U605 U607:U611 U614 U616 U618:U620 U622:U623">
    <cfRule type="expression" dxfId="736" priority="745">
      <formula>$C599="110"</formula>
    </cfRule>
  </conditionalFormatting>
  <conditionalFormatting sqref="U626:U633 U635:U638">
    <cfRule type="expression" dxfId="735" priority="744">
      <formula>$C626="110"</formula>
    </cfRule>
  </conditionalFormatting>
  <conditionalFormatting sqref="U641 U643:U646 U648:U650">
    <cfRule type="expression" dxfId="734" priority="743">
      <formula>$C641="110"</formula>
    </cfRule>
  </conditionalFormatting>
  <conditionalFormatting sqref="U652 U654:U663">
    <cfRule type="expression" dxfId="733" priority="742">
      <formula>$C652="110"</formula>
    </cfRule>
  </conditionalFormatting>
  <conditionalFormatting sqref="U666:U676">
    <cfRule type="expression" dxfId="732" priority="741">
      <formula>$C666="110"</formula>
    </cfRule>
  </conditionalFormatting>
  <conditionalFormatting sqref="U678:U682">
    <cfRule type="expression" dxfId="731" priority="740">
      <formula>$C678="110"</formula>
    </cfRule>
  </conditionalFormatting>
  <conditionalFormatting sqref="U685:U688">
    <cfRule type="expression" dxfId="730" priority="739">
      <formula>$C685="110"</formula>
    </cfRule>
  </conditionalFormatting>
  <conditionalFormatting sqref="U690:U696">
    <cfRule type="expression" dxfId="729" priority="738">
      <formula>$C690="110"</formula>
    </cfRule>
  </conditionalFormatting>
  <conditionalFormatting sqref="U698:U705">
    <cfRule type="expression" dxfId="728" priority="737">
      <formula>$C698="110"</formula>
    </cfRule>
  </conditionalFormatting>
  <conditionalFormatting sqref="U708:U713">
    <cfRule type="expression" dxfId="727" priority="736">
      <formula>$C708="110"</formula>
    </cfRule>
  </conditionalFormatting>
  <conditionalFormatting sqref="U715 U717:U719 U721:U727 U729:U740 U742">
    <cfRule type="expression" dxfId="726" priority="735">
      <formula>$C715="110"</formula>
    </cfRule>
  </conditionalFormatting>
  <conditionalFormatting sqref="C600">
    <cfRule type="cellIs" dxfId="725" priority="734" operator="equal">
      <formula>"110"</formula>
    </cfRule>
  </conditionalFormatting>
  <conditionalFormatting sqref="C600:D600">
    <cfRule type="expression" dxfId="724" priority="733">
      <formula>$C600="110"</formula>
    </cfRule>
  </conditionalFormatting>
  <conditionalFormatting sqref="C600">
    <cfRule type="cellIs" dxfId="723" priority="732" operator="equal">
      <formula>"310"</formula>
    </cfRule>
  </conditionalFormatting>
  <conditionalFormatting sqref="E600">
    <cfRule type="expression" dxfId="722" priority="731">
      <formula>$C600="110"</formula>
    </cfRule>
  </conditionalFormatting>
  <conditionalFormatting sqref="F600:H600">
    <cfRule type="expression" dxfId="721" priority="730">
      <formula>$C600="110"</formula>
    </cfRule>
  </conditionalFormatting>
  <conditionalFormatting sqref="U577">
    <cfRule type="expression" dxfId="720" priority="729">
      <formula>$C577="110"</formula>
    </cfRule>
  </conditionalFormatting>
  <conditionalFormatting sqref="U469">
    <cfRule type="expression" dxfId="719" priority="728">
      <formula>$C469="110"</formula>
    </cfRule>
  </conditionalFormatting>
  <conditionalFormatting sqref="B352:C352">
    <cfRule type="cellIs" dxfId="718" priority="727" operator="equal">
      <formula>"110"</formula>
    </cfRule>
  </conditionalFormatting>
  <conditionalFormatting sqref="S353:T353">
    <cfRule type="expression" dxfId="717" priority="726">
      <formula>$C353="110"</formula>
    </cfRule>
  </conditionalFormatting>
  <conditionalFormatting sqref="S357:S366">
    <cfRule type="expression" dxfId="716" priority="725">
      <formula>$C357="110"</formula>
    </cfRule>
  </conditionalFormatting>
  <conditionalFormatting sqref="S354:T354 T355:T369">
    <cfRule type="expression" dxfId="715" priority="724">
      <formula>$C354="110"</formula>
    </cfRule>
  </conditionalFormatting>
  <conditionalFormatting sqref="S368:S369">
    <cfRule type="expression" dxfId="714" priority="723">
      <formula>$C368="110"</formula>
    </cfRule>
  </conditionalFormatting>
  <conditionalFormatting sqref="S400">
    <cfRule type="expression" dxfId="713" priority="722">
      <formula>$C400="110"</formula>
    </cfRule>
  </conditionalFormatting>
  <conditionalFormatting sqref="S423:S425">
    <cfRule type="expression" dxfId="712" priority="721">
      <formula>$C423="110"</formula>
    </cfRule>
  </conditionalFormatting>
  <conditionalFormatting sqref="S428:T428 S431 S429">
    <cfRule type="expression" dxfId="711" priority="720">
      <formula>$C428="110"</formula>
    </cfRule>
  </conditionalFormatting>
  <conditionalFormatting sqref="S441">
    <cfRule type="expression" dxfId="710" priority="719">
      <formula>$C441="110"</formula>
    </cfRule>
  </conditionalFormatting>
  <conditionalFormatting sqref="S652:T652">
    <cfRule type="expression" dxfId="709" priority="718">
      <formula>$C652="110"</formula>
    </cfRule>
  </conditionalFormatting>
  <conditionalFormatting sqref="S715:T715">
    <cfRule type="expression" dxfId="708" priority="717">
      <formula>$C715="110"</formula>
    </cfRule>
  </conditionalFormatting>
  <conditionalFormatting sqref="S414">
    <cfRule type="expression" dxfId="707" priority="713">
      <formula>$C414="110"</formula>
    </cfRule>
  </conditionalFormatting>
  <conditionalFormatting sqref="S374">
    <cfRule type="expression" dxfId="706" priority="716">
      <formula>$C374="110"</formula>
    </cfRule>
  </conditionalFormatting>
  <conditionalFormatting sqref="S403:S405">
    <cfRule type="expression" dxfId="705" priority="674">
      <formula>$C403="110"</formula>
    </cfRule>
  </conditionalFormatting>
  <conditionalFormatting sqref="S372">
    <cfRule type="expression" dxfId="704" priority="715">
      <formula>$C372="110"</formula>
    </cfRule>
  </conditionalFormatting>
  <conditionalFormatting sqref="S612:S613">
    <cfRule type="expression" dxfId="703" priority="688">
      <formula>$C612="110"</formula>
    </cfRule>
  </conditionalFormatting>
  <conditionalFormatting sqref="S377:S378 S380:S393">
    <cfRule type="expression" dxfId="702" priority="714">
      <formula>$C377="110"</formula>
    </cfRule>
  </conditionalFormatting>
  <conditionalFormatting sqref="S418">
    <cfRule type="expression" dxfId="701" priority="711">
      <formula>$C418="110"</formula>
    </cfRule>
  </conditionalFormatting>
  <conditionalFormatting sqref="S642">
    <cfRule type="expression" dxfId="700" priority="682">
      <formula>$C642="110"</formula>
    </cfRule>
  </conditionalFormatting>
  <conditionalFormatting sqref="S621">
    <cfRule type="expression" dxfId="699" priority="685">
      <formula>$C621="110"</formula>
    </cfRule>
  </conditionalFormatting>
  <conditionalFormatting sqref="S532">
    <cfRule type="expression" dxfId="698" priority="698">
      <formula>$C532="110"</formula>
    </cfRule>
  </conditionalFormatting>
  <conditionalFormatting sqref="S615">
    <cfRule type="expression" dxfId="697" priority="687">
      <formula>$C615="110"</formula>
    </cfRule>
  </conditionalFormatting>
  <conditionalFormatting sqref="S416">
    <cfRule type="expression" dxfId="696" priority="712">
      <formula>$C416="110"</formula>
    </cfRule>
  </conditionalFormatting>
  <conditionalFormatting sqref="S411:S412">
    <cfRule type="expression" dxfId="695" priority="672">
      <formula>$C411="110"</formula>
    </cfRule>
  </conditionalFormatting>
  <conditionalFormatting sqref="S430">
    <cfRule type="expression" dxfId="694" priority="710">
      <formula>$C430="110"</formula>
    </cfRule>
  </conditionalFormatting>
  <conditionalFormatting sqref="S435">
    <cfRule type="expression" dxfId="693" priority="709">
      <formula>$C435="110"</formula>
    </cfRule>
  </conditionalFormatting>
  <conditionalFormatting sqref="S445">
    <cfRule type="expression" dxfId="692" priority="708">
      <formula>$C445="110"</formula>
    </cfRule>
  </conditionalFormatting>
  <conditionalFormatting sqref="S448">
    <cfRule type="expression" dxfId="691" priority="707">
      <formula>$C448="110"</formula>
    </cfRule>
  </conditionalFormatting>
  <conditionalFormatting sqref="S458">
    <cfRule type="expression" dxfId="690" priority="706">
      <formula>$C458="110"</formula>
    </cfRule>
  </conditionalFormatting>
  <conditionalFormatting sqref="S469">
    <cfRule type="expression" dxfId="689" priority="705">
      <formula>$C469="110"</formula>
    </cfRule>
  </conditionalFormatting>
  <conditionalFormatting sqref="S478">
    <cfRule type="expression" dxfId="688" priority="704">
      <formula>$C478="110"</formula>
    </cfRule>
  </conditionalFormatting>
  <conditionalFormatting sqref="S487">
    <cfRule type="expression" dxfId="687" priority="703">
      <formula>$C487="110"</formula>
    </cfRule>
  </conditionalFormatting>
  <conditionalFormatting sqref="S501">
    <cfRule type="expression" dxfId="686" priority="702">
      <formula>$C501="110"</formula>
    </cfRule>
  </conditionalFormatting>
  <conditionalFormatting sqref="S514">
    <cfRule type="expression" dxfId="685" priority="701">
      <formula>$C514="110"</formula>
    </cfRule>
  </conditionalFormatting>
  <conditionalFormatting sqref="S518">
    <cfRule type="expression" dxfId="684" priority="700">
      <formula>$C518="110"</formula>
    </cfRule>
  </conditionalFormatting>
  <conditionalFormatting sqref="S523">
    <cfRule type="expression" dxfId="683" priority="699">
      <formula>$C523="110"</formula>
    </cfRule>
  </conditionalFormatting>
  <conditionalFormatting sqref="S477:T477">
    <cfRule type="expression" dxfId="682" priority="660">
      <formula>$C477="110"</formula>
    </cfRule>
  </conditionalFormatting>
  <conditionalFormatting sqref="S534">
    <cfRule type="expression" dxfId="681" priority="697">
      <formula>$C534="110"</formula>
    </cfRule>
  </conditionalFormatting>
  <conditionalFormatting sqref="S566">
    <cfRule type="expression" dxfId="680" priority="696">
      <formula>$C566="110"</formula>
    </cfRule>
  </conditionalFormatting>
  <conditionalFormatting sqref="S570">
    <cfRule type="expression" dxfId="679" priority="695">
      <formula>$C570="110"</formula>
    </cfRule>
  </conditionalFormatting>
  <conditionalFormatting sqref="S572">
    <cfRule type="expression" dxfId="678" priority="694">
      <formula>$C572="110"</formula>
    </cfRule>
  </conditionalFormatting>
  <conditionalFormatting sqref="S577">
    <cfRule type="expression" dxfId="677" priority="693">
      <formula>$C577="110"</formula>
    </cfRule>
  </conditionalFormatting>
  <conditionalFormatting sqref="S583">
    <cfRule type="expression" dxfId="676" priority="692">
      <formula>$C583="110"</formula>
    </cfRule>
  </conditionalFormatting>
  <conditionalFormatting sqref="S596">
    <cfRule type="expression" dxfId="675" priority="691">
      <formula>$C596="110"</formula>
    </cfRule>
  </conditionalFormatting>
  <conditionalFormatting sqref="S600">
    <cfRule type="expression" dxfId="674" priority="690">
      <formula>$C600="110"</formula>
    </cfRule>
  </conditionalFormatting>
  <conditionalFormatting sqref="S606">
    <cfRule type="expression" dxfId="673" priority="689">
      <formula>$C606="110"</formula>
    </cfRule>
  </conditionalFormatting>
  <conditionalFormatting sqref="S617">
    <cfRule type="expression" dxfId="672" priority="686">
      <formula>$C617="110"</formula>
    </cfRule>
  </conditionalFormatting>
  <conditionalFormatting sqref="S625">
    <cfRule type="expression" dxfId="671" priority="684">
      <formula>$C625="110"</formula>
    </cfRule>
  </conditionalFormatting>
  <conditionalFormatting sqref="S634">
    <cfRule type="expression" dxfId="670" priority="683">
      <formula>$C634="110"</formula>
    </cfRule>
  </conditionalFormatting>
  <conditionalFormatting sqref="S653">
    <cfRule type="expression" dxfId="669" priority="681">
      <formula>$C653="110"</formula>
    </cfRule>
  </conditionalFormatting>
  <conditionalFormatting sqref="S665">
    <cfRule type="expression" dxfId="668" priority="680">
      <formula>$C665="110"</formula>
    </cfRule>
  </conditionalFormatting>
  <conditionalFormatting sqref="S684">
    <cfRule type="expression" dxfId="667" priority="679">
      <formula>$C684="110"</formula>
    </cfRule>
  </conditionalFormatting>
  <conditionalFormatting sqref="S716">
    <cfRule type="expression" dxfId="666" priority="678">
      <formula>$C716="110"</formula>
    </cfRule>
  </conditionalFormatting>
  <conditionalFormatting sqref="S720">
    <cfRule type="expression" dxfId="665" priority="677">
      <formula>$C720="110"</formula>
    </cfRule>
  </conditionalFormatting>
  <conditionalFormatting sqref="S728">
    <cfRule type="expression" dxfId="664" priority="676">
      <formula>$C728="110"</formula>
    </cfRule>
  </conditionalFormatting>
  <conditionalFormatting sqref="S420:S421">
    <cfRule type="expression" dxfId="663" priority="669">
      <formula>$C420="110"</formula>
    </cfRule>
  </conditionalFormatting>
  <conditionalFormatting sqref="S396:S398">
    <cfRule type="expression" dxfId="662" priority="675">
      <formula>$C396="110"</formula>
    </cfRule>
  </conditionalFormatting>
  <conditionalFormatting sqref="S407:S408">
    <cfRule type="expression" dxfId="661" priority="673">
      <formula>$C407="110"</formula>
    </cfRule>
  </conditionalFormatting>
  <conditionalFormatting sqref="S417">
    <cfRule type="expression" dxfId="660" priority="671">
      <formula>$C417="110"</formula>
    </cfRule>
  </conditionalFormatting>
  <conditionalFormatting sqref="U420:U421">
    <cfRule type="expression" dxfId="659" priority="670">
      <formula>$C420="110"</formula>
    </cfRule>
  </conditionalFormatting>
  <conditionalFormatting sqref="S717:S719">
    <cfRule type="expression" dxfId="658" priority="630">
      <formula>$C717="110"</formula>
    </cfRule>
  </conditionalFormatting>
  <conditionalFormatting sqref="S432:S434">
    <cfRule type="expression" dxfId="657" priority="668">
      <formula>$C432="110"</formula>
    </cfRule>
  </conditionalFormatting>
  <conditionalFormatting sqref="S436:S439">
    <cfRule type="expression" dxfId="656" priority="667">
      <formula>$C436="110"</formula>
    </cfRule>
  </conditionalFormatting>
  <conditionalFormatting sqref="S442:S443">
    <cfRule type="expression" dxfId="655" priority="666">
      <formula>$C442="110"</formula>
    </cfRule>
  </conditionalFormatting>
  <conditionalFormatting sqref="S446:S447">
    <cfRule type="expression" dxfId="654" priority="665">
      <formula>$C446="110"</formula>
    </cfRule>
  </conditionalFormatting>
  <conditionalFormatting sqref="S449:S452">
    <cfRule type="expression" dxfId="653" priority="664">
      <formula>$C449="110"</formula>
    </cfRule>
  </conditionalFormatting>
  <conditionalFormatting sqref="S454:S457">
    <cfRule type="expression" dxfId="652" priority="663">
      <formula>$C454="110"</formula>
    </cfRule>
  </conditionalFormatting>
  <conditionalFormatting sqref="S459:S467">
    <cfRule type="expression" dxfId="651" priority="662">
      <formula>$C459="110"</formula>
    </cfRule>
  </conditionalFormatting>
  <conditionalFormatting sqref="S470:S474">
    <cfRule type="expression" dxfId="650" priority="661">
      <formula>$C470="110"</formula>
    </cfRule>
  </conditionalFormatting>
  <conditionalFormatting sqref="S479:S484">
    <cfRule type="expression" dxfId="649" priority="659">
      <formula>$C479="110"</formula>
    </cfRule>
  </conditionalFormatting>
  <conditionalFormatting sqref="S486">
    <cfRule type="expression" dxfId="648" priority="658">
      <formula>$C486="110"</formula>
    </cfRule>
  </conditionalFormatting>
  <conditionalFormatting sqref="S488:S497">
    <cfRule type="expression" dxfId="647" priority="657">
      <formula>$C488="110"</formula>
    </cfRule>
  </conditionalFormatting>
  <conditionalFormatting sqref="S502:S503 U504 S505:S513">
    <cfRule type="expression" dxfId="646" priority="656">
      <formula>$C502="110"</formula>
    </cfRule>
  </conditionalFormatting>
  <conditionalFormatting sqref="S515:S517">
    <cfRule type="expression" dxfId="645" priority="655">
      <formula>$C515="110"</formula>
    </cfRule>
  </conditionalFormatting>
  <conditionalFormatting sqref="S524:S526">
    <cfRule type="expression" dxfId="644" priority="654">
      <formula>$C524="110"</formula>
    </cfRule>
  </conditionalFormatting>
  <conditionalFormatting sqref="S528:S530">
    <cfRule type="expression" dxfId="643" priority="653">
      <formula>$C528="110"</formula>
    </cfRule>
  </conditionalFormatting>
  <conditionalFormatting sqref="S535:S565">
    <cfRule type="expression" dxfId="642" priority="652">
      <formula>$C535="110"</formula>
    </cfRule>
  </conditionalFormatting>
  <conditionalFormatting sqref="S567:S569">
    <cfRule type="expression" dxfId="641" priority="651">
      <formula>$C567="110"</formula>
    </cfRule>
  </conditionalFormatting>
  <conditionalFormatting sqref="S573:S575">
    <cfRule type="expression" dxfId="640" priority="650">
      <formula>$C573="110"</formula>
    </cfRule>
  </conditionalFormatting>
  <conditionalFormatting sqref="S578:S581">
    <cfRule type="expression" dxfId="639" priority="649">
      <formula>$C578="110"</formula>
    </cfRule>
  </conditionalFormatting>
  <conditionalFormatting sqref="S584:S595">
    <cfRule type="expression" dxfId="638" priority="648">
      <formula>$C584="110"</formula>
    </cfRule>
  </conditionalFormatting>
  <conditionalFormatting sqref="S599:T599">
    <cfRule type="expression" dxfId="637" priority="647">
      <formula>$C599="110"</formula>
    </cfRule>
  </conditionalFormatting>
  <conditionalFormatting sqref="S601:S605">
    <cfRule type="expression" dxfId="636" priority="646">
      <formula>$C601="110"</formula>
    </cfRule>
  </conditionalFormatting>
  <conditionalFormatting sqref="S607:S611">
    <cfRule type="expression" dxfId="635" priority="645">
      <formula>$C607="110"</formula>
    </cfRule>
  </conditionalFormatting>
  <conditionalFormatting sqref="S614">
    <cfRule type="expression" dxfId="634" priority="644">
      <formula>$C614="110"</formula>
    </cfRule>
  </conditionalFormatting>
  <conditionalFormatting sqref="S618:S620">
    <cfRule type="expression" dxfId="633" priority="643">
      <formula>$C618="110"</formula>
    </cfRule>
  </conditionalFormatting>
  <conditionalFormatting sqref="S622:S623">
    <cfRule type="expression" dxfId="632" priority="642">
      <formula>$C622="110"</formula>
    </cfRule>
  </conditionalFormatting>
  <conditionalFormatting sqref="S626:S633">
    <cfRule type="expression" dxfId="631" priority="641">
      <formula>$C626="110"</formula>
    </cfRule>
  </conditionalFormatting>
  <conditionalFormatting sqref="S635:S638">
    <cfRule type="expression" dxfId="630" priority="640">
      <formula>$C635="110"</formula>
    </cfRule>
  </conditionalFormatting>
  <conditionalFormatting sqref="S641:T641">
    <cfRule type="expression" dxfId="629" priority="639">
      <formula>$C641="110"</formula>
    </cfRule>
  </conditionalFormatting>
  <conditionalFormatting sqref="S643:S646 S648:S650">
    <cfRule type="expression" dxfId="628" priority="638">
      <formula>$C643="110"</formula>
    </cfRule>
  </conditionalFormatting>
  <conditionalFormatting sqref="S654:S663">
    <cfRule type="expression" dxfId="627" priority="637">
      <formula>$C654="110"</formula>
    </cfRule>
  </conditionalFormatting>
  <conditionalFormatting sqref="S666:S676">
    <cfRule type="expression" dxfId="626" priority="636">
      <formula>$C666="110"</formula>
    </cfRule>
  </conditionalFormatting>
  <conditionalFormatting sqref="S678:S682">
    <cfRule type="expression" dxfId="625" priority="635">
      <formula>$C678="110"</formula>
    </cfRule>
  </conditionalFormatting>
  <conditionalFormatting sqref="S685:S688">
    <cfRule type="expression" dxfId="624" priority="634">
      <formula>$C685="110"</formula>
    </cfRule>
  </conditionalFormatting>
  <conditionalFormatting sqref="S690:S696">
    <cfRule type="expression" dxfId="623" priority="633">
      <formula>$C690="110"</formula>
    </cfRule>
  </conditionalFormatting>
  <conditionalFormatting sqref="S698:S705">
    <cfRule type="expression" dxfId="622" priority="632">
      <formula>$C698="110"</formula>
    </cfRule>
  </conditionalFormatting>
  <conditionalFormatting sqref="S708:T708 S709:S713">
    <cfRule type="expression" dxfId="621" priority="631">
      <formula>$C708="110"</formula>
    </cfRule>
  </conditionalFormatting>
  <conditionalFormatting sqref="S721:S727">
    <cfRule type="expression" dxfId="620" priority="629">
      <formula>$C721="110"</formula>
    </cfRule>
  </conditionalFormatting>
  <conditionalFormatting sqref="S729:S744">
    <cfRule type="expression" dxfId="619" priority="628">
      <formula>$C729="110"</formula>
    </cfRule>
  </conditionalFormatting>
  <conditionalFormatting sqref="S616">
    <cfRule type="expression" dxfId="618" priority="627">
      <formula>$C616="110"</formula>
    </cfRule>
  </conditionalFormatting>
  <conditionalFormatting sqref="W469">
    <cfRule type="expression" dxfId="617" priority="621">
      <formula>$E469="110"</formula>
    </cfRule>
  </conditionalFormatting>
  <conditionalFormatting sqref="W534">
    <cfRule type="expression" dxfId="616" priority="616">
      <formula>$E534="110"</formula>
    </cfRule>
  </conditionalFormatting>
  <conditionalFormatting sqref="W716">
    <cfRule type="expression" dxfId="615" priority="603">
      <formula>$E716="110"</formula>
    </cfRule>
  </conditionalFormatting>
  <conditionalFormatting sqref="W728">
    <cfRule type="expression" dxfId="614" priority="601">
      <formula>$E728="110"</formula>
    </cfRule>
  </conditionalFormatting>
  <conditionalFormatting sqref="W570">
    <cfRule type="expression" dxfId="613" priority="614">
      <formula>$C570="110"</formula>
    </cfRule>
  </conditionalFormatting>
  <conditionalFormatting sqref="W612">
    <cfRule type="expression" dxfId="612" priority="609">
      <formula>$C612="110"</formula>
    </cfRule>
  </conditionalFormatting>
  <conditionalFormatting sqref="W414">
    <cfRule type="expression" dxfId="611" priority="626">
      <formula>$C414="110"</formula>
    </cfRule>
  </conditionalFormatting>
  <conditionalFormatting sqref="W354">
    <cfRule type="expression" dxfId="610" priority="625">
      <formula>$E354="110"</formula>
    </cfRule>
  </conditionalFormatting>
  <conditionalFormatting sqref="W430">
    <cfRule type="expression" dxfId="609" priority="623">
      <formula>$E430="110"</formula>
    </cfRule>
  </conditionalFormatting>
  <conditionalFormatting sqref="W478">
    <cfRule type="expression" dxfId="608" priority="620">
      <formula>$E478="110"</formula>
    </cfRule>
  </conditionalFormatting>
  <conditionalFormatting sqref="W418">
    <cfRule type="expression" dxfId="607" priority="624">
      <formula>$E418="110"</formula>
    </cfRule>
  </conditionalFormatting>
  <conditionalFormatting sqref="W642">
    <cfRule type="expression" dxfId="606" priority="606">
      <formula>$E642="110"</formula>
    </cfRule>
  </conditionalFormatting>
  <conditionalFormatting sqref="W435">
    <cfRule type="expression" dxfId="605" priority="622">
      <formula>$E435="110"</formula>
    </cfRule>
  </conditionalFormatting>
  <conditionalFormatting sqref="W487">
    <cfRule type="expression" dxfId="604" priority="619">
      <formula>$E487="110"</formula>
    </cfRule>
  </conditionalFormatting>
  <conditionalFormatting sqref="W501">
    <cfRule type="expression" dxfId="603" priority="618">
      <formula>$E501="110"</formula>
    </cfRule>
  </conditionalFormatting>
  <conditionalFormatting sqref="W514">
    <cfRule type="expression" dxfId="602" priority="617">
      <formula>$E514="110"</formula>
    </cfRule>
  </conditionalFormatting>
  <conditionalFormatting sqref="W566">
    <cfRule type="expression" dxfId="601" priority="615">
      <formula>$C566="110"</formula>
    </cfRule>
  </conditionalFormatting>
  <conditionalFormatting sqref="W572">
    <cfRule type="expression" dxfId="600" priority="613">
      <formula>$E572="110"</formula>
    </cfRule>
  </conditionalFormatting>
  <conditionalFormatting sqref="W577">
    <cfRule type="expression" dxfId="599" priority="612">
      <formula>$C577="110"</formula>
    </cfRule>
  </conditionalFormatting>
  <conditionalFormatting sqref="W583">
    <cfRule type="expression" dxfId="598" priority="611">
      <formula>$E583="110"</formula>
    </cfRule>
  </conditionalFormatting>
  <conditionalFormatting sqref="W600">
    <cfRule type="expression" dxfId="597" priority="610">
      <formula>$E600="110"</formula>
    </cfRule>
  </conditionalFormatting>
  <conditionalFormatting sqref="W615">
    <cfRule type="expression" dxfId="596" priority="608">
      <formula>$E615="110"</formula>
    </cfRule>
  </conditionalFormatting>
  <conditionalFormatting sqref="W625">
    <cfRule type="expression" dxfId="595" priority="607">
      <formula>$E625="110"</formula>
    </cfRule>
  </conditionalFormatting>
  <conditionalFormatting sqref="W665">
    <cfRule type="expression" dxfId="594" priority="605">
      <formula>$E665="110"</formula>
    </cfRule>
  </conditionalFormatting>
  <conditionalFormatting sqref="W684">
    <cfRule type="expression" dxfId="593" priority="604">
      <formula>$E684="110"</formula>
    </cfRule>
  </conditionalFormatting>
  <conditionalFormatting sqref="W720">
    <cfRule type="expression" dxfId="592" priority="602">
      <formula>$E720="110"</formula>
    </cfRule>
  </conditionalFormatting>
  <conditionalFormatting sqref="C745">
    <cfRule type="cellIs" dxfId="591" priority="600" operator="equal">
      <formula>"110"</formula>
    </cfRule>
  </conditionalFormatting>
  <conditionalFormatting sqref="C745">
    <cfRule type="cellIs" dxfId="590" priority="599" operator="equal">
      <formula>"310"</formula>
    </cfRule>
  </conditionalFormatting>
  <conditionalFormatting sqref="S504">
    <cfRule type="expression" dxfId="589" priority="598">
      <formula>$C504="110"</formula>
    </cfRule>
  </conditionalFormatting>
  <conditionalFormatting sqref="S379">
    <cfRule type="expression" dxfId="588" priority="597">
      <formula>$C379="110"</formula>
    </cfRule>
  </conditionalFormatting>
  <conditionalFormatting sqref="S647">
    <cfRule type="expression" dxfId="587" priority="596">
      <formula>$C647="110"</formula>
    </cfRule>
  </conditionalFormatting>
  <conditionalFormatting sqref="U647">
    <cfRule type="expression" dxfId="586" priority="595">
      <formula>$C647="110"</formula>
    </cfRule>
  </conditionalFormatting>
  <conditionalFormatting sqref="F371:O371">
    <cfRule type="expression" dxfId="585" priority="594">
      <formula>$E371="110"</formula>
    </cfRule>
  </conditionalFormatting>
  <conditionalFormatting sqref="C371">
    <cfRule type="cellIs" dxfId="584" priority="593" operator="equal">
      <formula>"110"</formula>
    </cfRule>
  </conditionalFormatting>
  <conditionalFormatting sqref="C371:D371">
    <cfRule type="expression" dxfId="583" priority="592">
      <formula>$C371="110"</formula>
    </cfRule>
  </conditionalFormatting>
  <conditionalFormatting sqref="C371">
    <cfRule type="cellIs" dxfId="582" priority="591" operator="equal">
      <formula>"310"</formula>
    </cfRule>
  </conditionalFormatting>
  <conditionalFormatting sqref="U371">
    <cfRule type="expression" dxfId="581" priority="590">
      <formula>$C371="110"</formula>
    </cfRule>
  </conditionalFormatting>
  <conditionalFormatting sqref="E371">
    <cfRule type="expression" dxfId="580" priority="589">
      <formula>$C371="110"</formula>
    </cfRule>
  </conditionalFormatting>
  <conditionalFormatting sqref="S371">
    <cfRule type="expression" dxfId="579" priority="588">
      <formula>$C371="110"</formula>
    </cfRule>
  </conditionalFormatting>
  <conditionalFormatting sqref="W371">
    <cfRule type="expression" dxfId="578" priority="587">
      <formula>$E371="110"</formula>
    </cfRule>
  </conditionalFormatting>
  <conditionalFormatting sqref="F355:O355">
    <cfRule type="expression" dxfId="577" priority="586">
      <formula>$E355="110"</formula>
    </cfRule>
  </conditionalFormatting>
  <conditionalFormatting sqref="C355">
    <cfRule type="cellIs" dxfId="576" priority="585" operator="equal">
      <formula>"110"</formula>
    </cfRule>
  </conditionalFormatting>
  <conditionalFormatting sqref="C355:D355">
    <cfRule type="expression" dxfId="575" priority="584">
      <formula>$C355="110"</formula>
    </cfRule>
  </conditionalFormatting>
  <conditionalFormatting sqref="C355">
    <cfRule type="cellIs" dxfId="574" priority="583" operator="equal">
      <formula>"310"</formula>
    </cfRule>
  </conditionalFormatting>
  <conditionalFormatting sqref="U355">
    <cfRule type="expression" dxfId="573" priority="582">
      <formula>$C355="110"</formula>
    </cfRule>
  </conditionalFormatting>
  <conditionalFormatting sqref="E355">
    <cfRule type="expression" dxfId="572" priority="581">
      <formula>$C355="110"</formula>
    </cfRule>
  </conditionalFormatting>
  <conditionalFormatting sqref="S355">
    <cfRule type="expression" dxfId="571" priority="580">
      <formula>$C355="110"</formula>
    </cfRule>
  </conditionalFormatting>
  <conditionalFormatting sqref="W355">
    <cfRule type="expression" dxfId="570" priority="579">
      <formula>$E355="110"</formula>
    </cfRule>
  </conditionalFormatting>
  <conditionalFormatting sqref="C746:E746 S746 U746">
    <cfRule type="expression" dxfId="569" priority="577">
      <formula>$C746="110"</formula>
    </cfRule>
  </conditionalFormatting>
  <conditionalFormatting sqref="F746:O746 W746">
    <cfRule type="expression" dxfId="568" priority="578">
      <formula>$E746="110"</formula>
    </cfRule>
  </conditionalFormatting>
  <conditionalFormatting sqref="C746">
    <cfRule type="cellIs" dxfId="567" priority="576" operator="equal">
      <formula>"110"</formula>
    </cfRule>
  </conditionalFormatting>
  <conditionalFormatting sqref="C746">
    <cfRule type="cellIs" dxfId="566" priority="575" operator="equal">
      <formula>"310"</formula>
    </cfRule>
  </conditionalFormatting>
  <conditionalFormatting sqref="C498">
    <cfRule type="cellIs" dxfId="565" priority="574" operator="equal">
      <formula>"110"</formula>
    </cfRule>
  </conditionalFormatting>
  <conditionalFormatting sqref="C498">
    <cfRule type="cellIs" dxfId="564" priority="573" operator="equal">
      <formula>"310"</formula>
    </cfRule>
  </conditionalFormatting>
  <conditionalFormatting sqref="C370">
    <cfRule type="cellIs" dxfId="563" priority="564" operator="equal">
      <formula>"110"</formula>
    </cfRule>
  </conditionalFormatting>
  <conditionalFormatting sqref="F356:O356">
    <cfRule type="expression" dxfId="562" priority="572">
      <formula>$E356="110"</formula>
    </cfRule>
  </conditionalFormatting>
  <conditionalFormatting sqref="C356">
    <cfRule type="cellIs" dxfId="561" priority="571" operator="equal">
      <formula>"110"</formula>
    </cfRule>
  </conditionalFormatting>
  <conditionalFormatting sqref="C356:D356">
    <cfRule type="expression" dxfId="560" priority="570">
      <formula>$C356="110"</formula>
    </cfRule>
  </conditionalFormatting>
  <conditionalFormatting sqref="C356">
    <cfRule type="cellIs" dxfId="559" priority="569" operator="equal">
      <formula>"310"</formula>
    </cfRule>
  </conditionalFormatting>
  <conditionalFormatting sqref="U356">
    <cfRule type="expression" dxfId="558" priority="568">
      <formula>$C356="110"</formula>
    </cfRule>
  </conditionalFormatting>
  <conditionalFormatting sqref="E356">
    <cfRule type="expression" dxfId="557" priority="567">
      <formula>$C356="110"</formula>
    </cfRule>
  </conditionalFormatting>
  <conditionalFormatting sqref="S356">
    <cfRule type="expression" dxfId="556" priority="566">
      <formula>$C356="110"</formula>
    </cfRule>
  </conditionalFormatting>
  <conditionalFormatting sqref="W356">
    <cfRule type="expression" dxfId="555" priority="565">
      <formula>$E356="110"</formula>
    </cfRule>
  </conditionalFormatting>
  <conditionalFormatting sqref="C376">
    <cfRule type="cellIs" dxfId="554" priority="563" operator="equal">
      <formula>"110"</formula>
    </cfRule>
  </conditionalFormatting>
  <conditionalFormatting sqref="C376:O376 U376 W376">
    <cfRule type="expression" dxfId="553" priority="562">
      <formula>$C376="110"</formula>
    </cfRule>
  </conditionalFormatting>
  <conditionalFormatting sqref="C376">
    <cfRule type="cellIs" dxfId="552" priority="561" operator="equal">
      <formula>"310"</formula>
    </cfRule>
  </conditionalFormatting>
  <conditionalFormatting sqref="S376">
    <cfRule type="expression" dxfId="551" priority="560">
      <formula>$C376="110"</formula>
    </cfRule>
  </conditionalFormatting>
  <conditionalFormatting sqref="C453">
    <cfRule type="cellIs" dxfId="550" priority="520" operator="equal">
      <formula>"110"</formula>
    </cfRule>
  </conditionalFormatting>
  <conditionalFormatting sqref="C395">
    <cfRule type="cellIs" dxfId="549" priority="559" operator="equal">
      <formula>"110"</formula>
    </cfRule>
  </conditionalFormatting>
  <conditionalFormatting sqref="C367">
    <cfRule type="cellIs" dxfId="548" priority="558" operator="equal">
      <formula>"110"</formula>
    </cfRule>
  </conditionalFormatting>
  <conditionalFormatting sqref="C367:O367 U367 W367">
    <cfRule type="expression" dxfId="547" priority="557">
      <formula>$C367="110"</formula>
    </cfRule>
  </conditionalFormatting>
  <conditionalFormatting sqref="C367">
    <cfRule type="cellIs" dxfId="546" priority="556" operator="equal">
      <formula>"310"</formula>
    </cfRule>
  </conditionalFormatting>
  <conditionalFormatting sqref="S367">
    <cfRule type="expression" dxfId="545" priority="555">
      <formula>$C367="110"</formula>
    </cfRule>
  </conditionalFormatting>
  <conditionalFormatting sqref="C373">
    <cfRule type="cellIs" dxfId="544" priority="554" operator="equal">
      <formula>"110"</formula>
    </cfRule>
  </conditionalFormatting>
  <conditionalFormatting sqref="C373:O373 U373 W373">
    <cfRule type="expression" dxfId="543" priority="553">
      <formula>$C373="110"</formula>
    </cfRule>
  </conditionalFormatting>
  <conditionalFormatting sqref="C373">
    <cfRule type="cellIs" dxfId="542" priority="552" operator="equal">
      <formula>"310"</formula>
    </cfRule>
  </conditionalFormatting>
  <conditionalFormatting sqref="S373">
    <cfRule type="expression" dxfId="541" priority="551">
      <formula>$C373="110"</formula>
    </cfRule>
  </conditionalFormatting>
  <conditionalFormatting sqref="C394">
    <cfRule type="cellIs" dxfId="540" priority="550" operator="equal">
      <formula>"110"</formula>
    </cfRule>
  </conditionalFormatting>
  <conditionalFormatting sqref="C394:O394 U394 W394">
    <cfRule type="expression" dxfId="539" priority="549">
      <formula>$C394="110"</formula>
    </cfRule>
  </conditionalFormatting>
  <conditionalFormatting sqref="C394">
    <cfRule type="cellIs" dxfId="538" priority="548" operator="equal">
      <formula>"310"</formula>
    </cfRule>
  </conditionalFormatting>
  <conditionalFormatting sqref="S394">
    <cfRule type="expression" dxfId="537" priority="547">
      <formula>$C394="110"</formula>
    </cfRule>
  </conditionalFormatting>
  <conditionalFormatting sqref="C399">
    <cfRule type="cellIs" dxfId="536" priority="546" operator="equal">
      <formula>"110"</formula>
    </cfRule>
  </conditionalFormatting>
  <conditionalFormatting sqref="C401">
    <cfRule type="cellIs" dxfId="535" priority="545" operator="equal">
      <formula>"110"</formula>
    </cfRule>
  </conditionalFormatting>
  <conditionalFormatting sqref="C375">
    <cfRule type="cellIs" dxfId="534" priority="544" operator="equal">
      <formula>"110"</formula>
    </cfRule>
  </conditionalFormatting>
  <conditionalFormatting sqref="C415">
    <cfRule type="cellIs" dxfId="533" priority="543" operator="equal">
      <formula>"110"</formula>
    </cfRule>
  </conditionalFormatting>
  <conditionalFormatting sqref="C419">
    <cfRule type="cellIs" dxfId="532" priority="542" operator="equal">
      <formula>"110"</formula>
    </cfRule>
  </conditionalFormatting>
  <conditionalFormatting sqref="C422">
    <cfRule type="cellIs" dxfId="531" priority="541" operator="equal">
      <formula>"110"</formula>
    </cfRule>
  </conditionalFormatting>
  <conditionalFormatting sqref="C426">
    <cfRule type="cellIs" dxfId="530" priority="540" operator="equal">
      <formula>"110"</formula>
    </cfRule>
  </conditionalFormatting>
  <conditionalFormatting sqref="C427">
    <cfRule type="cellIs" dxfId="529" priority="539" operator="equal">
      <formula>"110"</formula>
    </cfRule>
  </conditionalFormatting>
  <conditionalFormatting sqref="C402">
    <cfRule type="cellIs" dxfId="528" priority="538" operator="equal">
      <formula>"110"</formula>
    </cfRule>
  </conditionalFormatting>
  <conditionalFormatting sqref="C402:O402 U402 W402">
    <cfRule type="expression" dxfId="527" priority="537">
      <formula>$C402="110"</formula>
    </cfRule>
  </conditionalFormatting>
  <conditionalFormatting sqref="C402">
    <cfRule type="cellIs" dxfId="526" priority="536" operator="equal">
      <formula>"310"</formula>
    </cfRule>
  </conditionalFormatting>
  <conditionalFormatting sqref="S402">
    <cfRule type="expression" dxfId="525" priority="535">
      <formula>$C402="110"</formula>
    </cfRule>
  </conditionalFormatting>
  <conditionalFormatting sqref="C406">
    <cfRule type="cellIs" dxfId="524" priority="534" operator="equal">
      <formula>"110"</formula>
    </cfRule>
  </conditionalFormatting>
  <conditionalFormatting sqref="C406:O406 U406 W406">
    <cfRule type="expression" dxfId="523" priority="533">
      <formula>$C406="110"</formula>
    </cfRule>
  </conditionalFormatting>
  <conditionalFormatting sqref="C406">
    <cfRule type="cellIs" dxfId="522" priority="532" operator="equal">
      <formula>"310"</formula>
    </cfRule>
  </conditionalFormatting>
  <conditionalFormatting sqref="S406">
    <cfRule type="expression" dxfId="521" priority="531">
      <formula>$C406="110"</formula>
    </cfRule>
  </conditionalFormatting>
  <conditionalFormatting sqref="C409:C410">
    <cfRule type="cellIs" dxfId="520" priority="530" operator="equal">
      <formula>"110"</formula>
    </cfRule>
  </conditionalFormatting>
  <conditionalFormatting sqref="C409:O410 U409:U410 W409:W410">
    <cfRule type="expression" dxfId="519" priority="529">
      <formula>$C409="110"</formula>
    </cfRule>
  </conditionalFormatting>
  <conditionalFormatting sqref="C409:C410">
    <cfRule type="cellIs" dxfId="518" priority="528" operator="equal">
      <formula>"310"</formula>
    </cfRule>
  </conditionalFormatting>
  <conditionalFormatting sqref="S409:S410">
    <cfRule type="expression" dxfId="517" priority="527">
      <formula>$C409="110"</formula>
    </cfRule>
  </conditionalFormatting>
  <conditionalFormatting sqref="C413">
    <cfRule type="cellIs" dxfId="516" priority="526" operator="equal">
      <formula>"110"</formula>
    </cfRule>
  </conditionalFormatting>
  <conditionalFormatting sqref="C413:O413 U413 W413">
    <cfRule type="expression" dxfId="515" priority="525">
      <formula>$C413="110"</formula>
    </cfRule>
  </conditionalFormatting>
  <conditionalFormatting sqref="C413">
    <cfRule type="cellIs" dxfId="514" priority="524" operator="equal">
      <formula>"310"</formula>
    </cfRule>
  </conditionalFormatting>
  <conditionalFormatting sqref="S413">
    <cfRule type="expression" dxfId="513" priority="523">
      <formula>$C413="110"</formula>
    </cfRule>
  </conditionalFormatting>
  <conditionalFormatting sqref="C440">
    <cfRule type="cellIs" dxfId="512" priority="522" operator="equal">
      <formula>"110"</formula>
    </cfRule>
  </conditionalFormatting>
  <conditionalFormatting sqref="C444">
    <cfRule type="cellIs" dxfId="511" priority="521" operator="equal">
      <formula>"110"</formula>
    </cfRule>
  </conditionalFormatting>
  <conditionalFormatting sqref="C468">
    <cfRule type="cellIs" dxfId="510" priority="519" operator="equal">
      <formula>"110"</formula>
    </cfRule>
  </conditionalFormatting>
  <conditionalFormatting sqref="C475">
    <cfRule type="cellIs" dxfId="509" priority="518" operator="equal">
      <formula>"110"</formula>
    </cfRule>
  </conditionalFormatting>
  <conditionalFormatting sqref="C476">
    <cfRule type="cellIs" dxfId="508" priority="517" operator="equal">
      <formula>"110"</formula>
    </cfRule>
  </conditionalFormatting>
  <conditionalFormatting sqref="C485">
    <cfRule type="cellIs" dxfId="507" priority="516" operator="equal">
      <formula>"110"</formula>
    </cfRule>
  </conditionalFormatting>
  <conditionalFormatting sqref="C500">
    <cfRule type="cellIs" dxfId="506" priority="515" operator="equal">
      <formula>"110"</formula>
    </cfRule>
  </conditionalFormatting>
  <conditionalFormatting sqref="W445">
    <cfRule type="expression" dxfId="505" priority="514">
      <formula>$E445="110"</formula>
    </cfRule>
  </conditionalFormatting>
  <conditionalFormatting sqref="C522">
    <cfRule type="cellIs" dxfId="504" priority="513" operator="equal">
      <formula>"110"</formula>
    </cfRule>
  </conditionalFormatting>
  <conditionalFormatting sqref="C527">
    <cfRule type="cellIs" dxfId="503" priority="512" operator="equal">
      <formula>"110"</formula>
    </cfRule>
  </conditionalFormatting>
  <conditionalFormatting sqref="C531">
    <cfRule type="cellIs" dxfId="502" priority="511" operator="equal">
      <formula>"110"</formula>
    </cfRule>
  </conditionalFormatting>
  <conditionalFormatting sqref="C533">
    <cfRule type="cellIs" dxfId="501" priority="510" operator="equal">
      <formula>"110"</formula>
    </cfRule>
  </conditionalFormatting>
  <conditionalFormatting sqref="C571">
    <cfRule type="cellIs" dxfId="500" priority="509" operator="equal">
      <formula>"110"</formula>
    </cfRule>
  </conditionalFormatting>
  <conditionalFormatting sqref="C576">
    <cfRule type="cellIs" dxfId="499" priority="508" operator="equal">
      <formula>"110"</formula>
    </cfRule>
  </conditionalFormatting>
  <conditionalFormatting sqref="C582">
    <cfRule type="cellIs" dxfId="498" priority="507" operator="equal">
      <formula>"110"</formula>
    </cfRule>
  </conditionalFormatting>
  <conditionalFormatting sqref="C597">
    <cfRule type="cellIs" dxfId="497" priority="506" operator="equal">
      <formula>"110"</formula>
    </cfRule>
  </conditionalFormatting>
  <conditionalFormatting sqref="C598">
    <cfRule type="cellIs" dxfId="496" priority="505" operator="equal">
      <formula>"110"</formula>
    </cfRule>
  </conditionalFormatting>
  <conditionalFormatting sqref="C624">
    <cfRule type="cellIs" dxfId="495" priority="504" operator="equal">
      <formula>"110"</formula>
    </cfRule>
  </conditionalFormatting>
  <conditionalFormatting sqref="C639">
    <cfRule type="cellIs" dxfId="494" priority="503" operator="equal">
      <formula>"110"</formula>
    </cfRule>
  </conditionalFormatting>
  <conditionalFormatting sqref="C640">
    <cfRule type="cellIs" dxfId="493" priority="502" operator="equal">
      <formula>"110"</formula>
    </cfRule>
  </conditionalFormatting>
  <conditionalFormatting sqref="C651">
    <cfRule type="cellIs" dxfId="492" priority="501" operator="equal">
      <formula>"110"</formula>
    </cfRule>
  </conditionalFormatting>
  <conditionalFormatting sqref="C664">
    <cfRule type="cellIs" dxfId="491" priority="500" operator="equal">
      <formula>"110"</formula>
    </cfRule>
  </conditionalFormatting>
  <conditionalFormatting sqref="C677">
    <cfRule type="cellIs" dxfId="490" priority="499" operator="equal">
      <formula>"110"</formula>
    </cfRule>
  </conditionalFormatting>
  <conditionalFormatting sqref="C683">
    <cfRule type="cellIs" dxfId="489" priority="498" operator="equal">
      <formula>"110"</formula>
    </cfRule>
  </conditionalFormatting>
  <conditionalFormatting sqref="C689">
    <cfRule type="cellIs" dxfId="488" priority="497" operator="equal">
      <formula>"110"</formula>
    </cfRule>
  </conditionalFormatting>
  <conditionalFormatting sqref="C697">
    <cfRule type="cellIs" dxfId="487" priority="496" operator="equal">
      <formula>"110"</formula>
    </cfRule>
  </conditionalFormatting>
  <conditionalFormatting sqref="C706">
    <cfRule type="cellIs" dxfId="486" priority="495" operator="equal">
      <formula>"110"</formula>
    </cfRule>
  </conditionalFormatting>
  <conditionalFormatting sqref="C707">
    <cfRule type="cellIs" dxfId="485" priority="494" operator="equal">
      <formula>"110"</formula>
    </cfRule>
  </conditionalFormatting>
  <conditionalFormatting sqref="C714">
    <cfRule type="cellIs" dxfId="484" priority="493" operator="equal">
      <formula>"110"</formula>
    </cfRule>
  </conditionalFormatting>
  <conditionalFormatting sqref="C747">
    <cfRule type="cellIs" dxfId="483" priority="492" operator="equal">
      <formula>"110"</formula>
    </cfRule>
  </conditionalFormatting>
  <conditionalFormatting sqref="D499">
    <cfRule type="expression" dxfId="482" priority="490">
      <formula>$C499="110"</formula>
    </cfRule>
  </conditionalFormatting>
  <conditionalFormatting sqref="F499:O499 W499">
    <cfRule type="expression" dxfId="481" priority="491">
      <formula>$E499="110"</formula>
    </cfRule>
  </conditionalFormatting>
  <conditionalFormatting sqref="E499">
    <cfRule type="expression" dxfId="480" priority="489">
      <formula>$C499="110"</formula>
    </cfRule>
  </conditionalFormatting>
  <conditionalFormatting sqref="U499">
    <cfRule type="expression" dxfId="479" priority="488">
      <formula>$C499="110"</formula>
    </cfRule>
  </conditionalFormatting>
  <conditionalFormatting sqref="S499">
    <cfRule type="expression" dxfId="478" priority="487">
      <formula>$C499="110"</formula>
    </cfRule>
  </conditionalFormatting>
  <conditionalFormatting sqref="C499">
    <cfRule type="cellIs" dxfId="477" priority="486" operator="equal">
      <formula>"110"</formula>
    </cfRule>
  </conditionalFormatting>
  <conditionalFormatting sqref="C499">
    <cfRule type="expression" dxfId="476" priority="485">
      <formula>$C499="110"</formula>
    </cfRule>
  </conditionalFormatting>
  <conditionalFormatting sqref="C499">
    <cfRule type="cellIs" dxfId="475" priority="484" operator="equal">
      <formula>"310"</formula>
    </cfRule>
  </conditionalFormatting>
  <conditionalFormatting sqref="W524:W525">
    <cfRule type="expression" dxfId="474" priority="483">
      <formula>$E524="110"</formula>
    </cfRule>
  </conditionalFormatting>
  <conditionalFormatting sqref="S519:S521">
    <cfRule type="expression" dxfId="473" priority="482">
      <formula>$C519="110"</formula>
    </cfRule>
  </conditionalFormatting>
  <conditionalFormatting sqref="R748:R749">
    <cfRule type="cellIs" dxfId="472" priority="481" operator="equal">
      <formula>"110"</formula>
    </cfRule>
  </conditionalFormatting>
  <conditionalFormatting sqref="R745 R498 R748:R749">
    <cfRule type="expression" dxfId="471" priority="480">
      <formula>$C498="110"</formula>
    </cfRule>
  </conditionalFormatting>
  <conditionalFormatting sqref="R353">
    <cfRule type="expression" dxfId="470" priority="479">
      <formula>$C353="110"</formula>
    </cfRule>
  </conditionalFormatting>
  <conditionalFormatting sqref="R357:R366">
    <cfRule type="expression" dxfId="469" priority="478">
      <formula>$C357="110"</formula>
    </cfRule>
  </conditionalFormatting>
  <conditionalFormatting sqref="R354">
    <cfRule type="expression" dxfId="468" priority="477">
      <formula>$C354="110"</formula>
    </cfRule>
  </conditionalFormatting>
  <conditionalFormatting sqref="R368:R369">
    <cfRule type="expression" dxfId="467" priority="476">
      <formula>$C368="110"</formula>
    </cfRule>
  </conditionalFormatting>
  <conditionalFormatting sqref="R400">
    <cfRule type="expression" dxfId="466" priority="475">
      <formula>$C400="110"</formula>
    </cfRule>
  </conditionalFormatting>
  <conditionalFormatting sqref="R423:R425">
    <cfRule type="expression" dxfId="465" priority="474">
      <formula>$C423="110"</formula>
    </cfRule>
  </conditionalFormatting>
  <conditionalFormatting sqref="R428:R429 R431">
    <cfRule type="expression" dxfId="464" priority="473">
      <formula>$C428="110"</formula>
    </cfRule>
  </conditionalFormatting>
  <conditionalFormatting sqref="R441">
    <cfRule type="expression" dxfId="463" priority="472">
      <formula>$C441="110"</formula>
    </cfRule>
  </conditionalFormatting>
  <conditionalFormatting sqref="R652">
    <cfRule type="expression" dxfId="462" priority="471">
      <formula>$C652="110"</formula>
    </cfRule>
  </conditionalFormatting>
  <conditionalFormatting sqref="R715">
    <cfRule type="expression" dxfId="461" priority="470">
      <formula>$C715="110"</formula>
    </cfRule>
  </conditionalFormatting>
  <conditionalFormatting sqref="R414">
    <cfRule type="expression" dxfId="460" priority="466">
      <formula>$C414="110"</formula>
    </cfRule>
  </conditionalFormatting>
  <conditionalFormatting sqref="R374">
    <cfRule type="expression" dxfId="459" priority="469">
      <formula>$C374="110"</formula>
    </cfRule>
  </conditionalFormatting>
  <conditionalFormatting sqref="R403:R405">
    <cfRule type="expression" dxfId="458" priority="427">
      <formula>$C403="110"</formula>
    </cfRule>
  </conditionalFormatting>
  <conditionalFormatting sqref="R372">
    <cfRule type="expression" dxfId="457" priority="468">
      <formula>$C372="110"</formula>
    </cfRule>
  </conditionalFormatting>
  <conditionalFormatting sqref="R612:R613">
    <cfRule type="expression" dxfId="456" priority="441">
      <formula>$C612="110"</formula>
    </cfRule>
  </conditionalFormatting>
  <conditionalFormatting sqref="R377:R378 R380:R393">
    <cfRule type="expression" dxfId="455" priority="467">
      <formula>$C377="110"</formula>
    </cfRule>
  </conditionalFormatting>
  <conditionalFormatting sqref="R418">
    <cfRule type="expression" dxfId="454" priority="464">
      <formula>$C418="110"</formula>
    </cfRule>
  </conditionalFormatting>
  <conditionalFormatting sqref="R642">
    <cfRule type="expression" dxfId="453" priority="435">
      <formula>$C642="110"</formula>
    </cfRule>
  </conditionalFormatting>
  <conditionalFormatting sqref="R621">
    <cfRule type="expression" dxfId="452" priority="438">
      <formula>$C621="110"</formula>
    </cfRule>
  </conditionalFormatting>
  <conditionalFormatting sqref="R532">
    <cfRule type="expression" dxfId="451" priority="451">
      <formula>$C532="110"</formula>
    </cfRule>
  </conditionalFormatting>
  <conditionalFormatting sqref="R615">
    <cfRule type="expression" dxfId="450" priority="440">
      <formula>$C615="110"</formula>
    </cfRule>
  </conditionalFormatting>
  <conditionalFormatting sqref="R416">
    <cfRule type="expression" dxfId="449" priority="465">
      <formula>$C416="110"</formula>
    </cfRule>
  </conditionalFormatting>
  <conditionalFormatting sqref="R411:R412">
    <cfRule type="expression" dxfId="448" priority="425">
      <formula>$C411="110"</formula>
    </cfRule>
  </conditionalFormatting>
  <conditionalFormatting sqref="R430">
    <cfRule type="expression" dxfId="447" priority="463">
      <formula>$C430="110"</formula>
    </cfRule>
  </conditionalFormatting>
  <conditionalFormatting sqref="R435">
    <cfRule type="expression" dxfId="446" priority="462">
      <formula>$C435="110"</formula>
    </cfRule>
  </conditionalFormatting>
  <conditionalFormatting sqref="R445">
    <cfRule type="expression" dxfId="445" priority="461">
      <formula>$C445="110"</formula>
    </cfRule>
  </conditionalFormatting>
  <conditionalFormatting sqref="R448">
    <cfRule type="expression" dxfId="444" priority="460">
      <formula>$C448="110"</formula>
    </cfRule>
  </conditionalFormatting>
  <conditionalFormatting sqref="R458">
    <cfRule type="expression" dxfId="443" priority="459">
      <formula>$C458="110"</formula>
    </cfRule>
  </conditionalFormatting>
  <conditionalFormatting sqref="R469">
    <cfRule type="expression" dxfId="442" priority="458">
      <formula>$C469="110"</formula>
    </cfRule>
  </conditionalFormatting>
  <conditionalFormatting sqref="R478">
    <cfRule type="expression" dxfId="441" priority="457">
      <formula>$C478="110"</formula>
    </cfRule>
  </conditionalFormatting>
  <conditionalFormatting sqref="R487">
    <cfRule type="expression" dxfId="440" priority="456">
      <formula>$C487="110"</formula>
    </cfRule>
  </conditionalFormatting>
  <conditionalFormatting sqref="R501">
    <cfRule type="expression" dxfId="439" priority="455">
      <formula>$C501="110"</formula>
    </cfRule>
  </conditionalFormatting>
  <conditionalFormatting sqref="R514">
    <cfRule type="expression" dxfId="438" priority="454">
      <formula>$C514="110"</formula>
    </cfRule>
  </conditionalFormatting>
  <conditionalFormatting sqref="R518">
    <cfRule type="expression" dxfId="437" priority="453">
      <formula>$C518="110"</formula>
    </cfRule>
  </conditionalFormatting>
  <conditionalFormatting sqref="R523">
    <cfRule type="expression" dxfId="436" priority="452">
      <formula>$C523="110"</formula>
    </cfRule>
  </conditionalFormatting>
  <conditionalFormatting sqref="R477">
    <cfRule type="expression" dxfId="435" priority="414">
      <formula>$C477="110"</formula>
    </cfRule>
  </conditionalFormatting>
  <conditionalFormatting sqref="R534">
    <cfRule type="expression" dxfId="434" priority="450">
      <formula>$C534="110"</formula>
    </cfRule>
  </conditionalFormatting>
  <conditionalFormatting sqref="R566">
    <cfRule type="expression" dxfId="433" priority="449">
      <formula>$C566="110"</formula>
    </cfRule>
  </conditionalFormatting>
  <conditionalFormatting sqref="R570">
    <cfRule type="expression" dxfId="432" priority="448">
      <formula>$C570="110"</formula>
    </cfRule>
  </conditionalFormatting>
  <conditionalFormatting sqref="R572">
    <cfRule type="expression" dxfId="431" priority="447">
      <formula>$C572="110"</formula>
    </cfRule>
  </conditionalFormatting>
  <conditionalFormatting sqref="R577">
    <cfRule type="expression" dxfId="430" priority="446">
      <formula>$C577="110"</formula>
    </cfRule>
  </conditionalFormatting>
  <conditionalFormatting sqref="R583">
    <cfRule type="expression" dxfId="429" priority="445">
      <formula>$C583="110"</formula>
    </cfRule>
  </conditionalFormatting>
  <conditionalFormatting sqref="R596">
    <cfRule type="expression" dxfId="428" priority="444">
      <formula>$C596="110"</formula>
    </cfRule>
  </conditionalFormatting>
  <conditionalFormatting sqref="R600">
    <cfRule type="expression" dxfId="427" priority="443">
      <formula>$C600="110"</formula>
    </cfRule>
  </conditionalFormatting>
  <conditionalFormatting sqref="R606">
    <cfRule type="expression" dxfId="426" priority="442">
      <formula>$C606="110"</formula>
    </cfRule>
  </conditionalFormatting>
  <conditionalFormatting sqref="R617">
    <cfRule type="expression" dxfId="425" priority="439">
      <formula>$C617="110"</formula>
    </cfRule>
  </conditionalFormatting>
  <conditionalFormatting sqref="R625">
    <cfRule type="expression" dxfId="424" priority="437">
      <formula>$C625="110"</formula>
    </cfRule>
  </conditionalFormatting>
  <conditionalFormatting sqref="R634">
    <cfRule type="expression" dxfId="423" priority="436">
      <formula>$C634="110"</formula>
    </cfRule>
  </conditionalFormatting>
  <conditionalFormatting sqref="R653">
    <cfRule type="expression" dxfId="422" priority="434">
      <formula>$C653="110"</formula>
    </cfRule>
  </conditionalFormatting>
  <conditionalFormatting sqref="R665">
    <cfRule type="expression" dxfId="421" priority="433">
      <formula>$C665="110"</formula>
    </cfRule>
  </conditionalFormatting>
  <conditionalFormatting sqref="R684">
    <cfRule type="expression" dxfId="420" priority="432">
      <formula>$C684="110"</formula>
    </cfRule>
  </conditionalFormatting>
  <conditionalFormatting sqref="R716">
    <cfRule type="expression" dxfId="419" priority="431">
      <formula>$C716="110"</formula>
    </cfRule>
  </conditionalFormatting>
  <conditionalFormatting sqref="R720">
    <cfRule type="expression" dxfId="418" priority="430">
      <formula>$C720="110"</formula>
    </cfRule>
  </conditionalFormatting>
  <conditionalFormatting sqref="R728">
    <cfRule type="expression" dxfId="417" priority="429">
      <formula>$C728="110"</formula>
    </cfRule>
  </conditionalFormatting>
  <conditionalFormatting sqref="R420:R421">
    <cfRule type="expression" dxfId="416" priority="423">
      <formula>$C420="110"</formula>
    </cfRule>
  </conditionalFormatting>
  <conditionalFormatting sqref="R396:R398">
    <cfRule type="expression" dxfId="415" priority="428">
      <formula>$C396="110"</formula>
    </cfRule>
  </conditionalFormatting>
  <conditionalFormatting sqref="R407:R408">
    <cfRule type="expression" dxfId="414" priority="426">
      <formula>$C407="110"</formula>
    </cfRule>
  </conditionalFormatting>
  <conditionalFormatting sqref="R417">
    <cfRule type="expression" dxfId="413" priority="424">
      <formula>$C417="110"</formula>
    </cfRule>
  </conditionalFormatting>
  <conditionalFormatting sqref="R717:R719">
    <cfRule type="expression" dxfId="412" priority="384">
      <formula>$C717="110"</formula>
    </cfRule>
  </conditionalFormatting>
  <conditionalFormatting sqref="R432:R434">
    <cfRule type="expression" dxfId="411" priority="422">
      <formula>$C432="110"</formula>
    </cfRule>
  </conditionalFormatting>
  <conditionalFormatting sqref="R436:R439">
    <cfRule type="expression" dxfId="410" priority="421">
      <formula>$C436="110"</formula>
    </cfRule>
  </conditionalFormatting>
  <conditionalFormatting sqref="R442:R443">
    <cfRule type="expression" dxfId="409" priority="420">
      <formula>$C442="110"</formula>
    </cfRule>
  </conditionalFormatting>
  <conditionalFormatting sqref="R446:R447">
    <cfRule type="expression" dxfId="408" priority="419">
      <formula>$C446="110"</formula>
    </cfRule>
  </conditionalFormatting>
  <conditionalFormatting sqref="R449:R452">
    <cfRule type="expression" dxfId="407" priority="418">
      <formula>$C449="110"</formula>
    </cfRule>
  </conditionalFormatting>
  <conditionalFormatting sqref="R454:R457">
    <cfRule type="expression" dxfId="406" priority="417">
      <formula>$C454="110"</formula>
    </cfRule>
  </conditionalFormatting>
  <conditionalFormatting sqref="R459:R467">
    <cfRule type="expression" dxfId="405" priority="416">
      <formula>$C459="110"</formula>
    </cfRule>
  </conditionalFormatting>
  <conditionalFormatting sqref="R470:R474">
    <cfRule type="expression" dxfId="404" priority="415">
      <formula>$C470="110"</formula>
    </cfRule>
  </conditionalFormatting>
  <conditionalFormatting sqref="R479:R484">
    <cfRule type="expression" dxfId="403" priority="413">
      <formula>$C479="110"</formula>
    </cfRule>
  </conditionalFormatting>
  <conditionalFormatting sqref="R486">
    <cfRule type="expression" dxfId="402" priority="412">
      <formula>$C486="110"</formula>
    </cfRule>
  </conditionalFormatting>
  <conditionalFormatting sqref="R488:R497">
    <cfRule type="expression" dxfId="401" priority="411">
      <formula>$C488="110"</formula>
    </cfRule>
  </conditionalFormatting>
  <conditionalFormatting sqref="R502:R503 R505:R513">
    <cfRule type="expression" dxfId="400" priority="410">
      <formula>$C502="110"</formula>
    </cfRule>
  </conditionalFormatting>
  <conditionalFormatting sqref="R515:R517">
    <cfRule type="expression" dxfId="399" priority="409">
      <formula>$C515="110"</formula>
    </cfRule>
  </conditionalFormatting>
  <conditionalFormatting sqref="R524:R526">
    <cfRule type="expression" dxfId="398" priority="408">
      <formula>$C524="110"</formula>
    </cfRule>
  </conditionalFormatting>
  <conditionalFormatting sqref="R528:R530">
    <cfRule type="expression" dxfId="397" priority="407">
      <formula>$C528="110"</formula>
    </cfRule>
  </conditionalFormatting>
  <conditionalFormatting sqref="R535:R565">
    <cfRule type="expression" dxfId="396" priority="406">
      <formula>$C535="110"</formula>
    </cfRule>
  </conditionalFormatting>
  <conditionalFormatting sqref="R567:R569">
    <cfRule type="expression" dxfId="395" priority="405">
      <formula>$C567="110"</formula>
    </cfRule>
  </conditionalFormatting>
  <conditionalFormatting sqref="R573:R575">
    <cfRule type="expression" dxfId="394" priority="404">
      <formula>$C573="110"</formula>
    </cfRule>
  </conditionalFormatting>
  <conditionalFormatting sqref="R578:R581">
    <cfRule type="expression" dxfId="393" priority="403">
      <formula>$C578="110"</formula>
    </cfRule>
  </conditionalFormatting>
  <conditionalFormatting sqref="R584:R595">
    <cfRule type="expression" dxfId="392" priority="402">
      <formula>$C584="110"</formula>
    </cfRule>
  </conditionalFormatting>
  <conditionalFormatting sqref="R599">
    <cfRule type="expression" dxfId="391" priority="401">
      <formula>$C599="110"</formula>
    </cfRule>
  </conditionalFormatting>
  <conditionalFormatting sqref="R601:R605">
    <cfRule type="expression" dxfId="390" priority="400">
      <formula>$C601="110"</formula>
    </cfRule>
  </conditionalFormatting>
  <conditionalFormatting sqref="R607:R611">
    <cfRule type="expression" dxfId="389" priority="399">
      <formula>$C607="110"</formula>
    </cfRule>
  </conditionalFormatting>
  <conditionalFormatting sqref="R614">
    <cfRule type="expression" dxfId="388" priority="398">
      <formula>$C614="110"</formula>
    </cfRule>
  </conditionalFormatting>
  <conditionalFormatting sqref="R618:R620">
    <cfRule type="expression" dxfId="387" priority="397">
      <formula>$C618="110"</formula>
    </cfRule>
  </conditionalFormatting>
  <conditionalFormatting sqref="R622:R623">
    <cfRule type="expression" dxfId="386" priority="396">
      <formula>$C622="110"</formula>
    </cfRule>
  </conditionalFormatting>
  <conditionalFormatting sqref="R626:R633">
    <cfRule type="expression" dxfId="385" priority="395">
      <formula>$C626="110"</formula>
    </cfRule>
  </conditionalFormatting>
  <conditionalFormatting sqref="R635:R638">
    <cfRule type="expression" dxfId="384" priority="394">
      <formula>$C635="110"</formula>
    </cfRule>
  </conditionalFormatting>
  <conditionalFormatting sqref="R641">
    <cfRule type="expression" dxfId="383" priority="393">
      <formula>$C641="110"</formula>
    </cfRule>
  </conditionalFormatting>
  <conditionalFormatting sqref="R643:R646 R648:R650">
    <cfRule type="expression" dxfId="382" priority="392">
      <formula>$C643="110"</formula>
    </cfRule>
  </conditionalFormatting>
  <conditionalFormatting sqref="R654:R663">
    <cfRule type="expression" dxfId="381" priority="391">
      <formula>$C654="110"</formula>
    </cfRule>
  </conditionalFormatting>
  <conditionalFormatting sqref="R666:R676">
    <cfRule type="expression" dxfId="380" priority="390">
      <formula>$C666="110"</formula>
    </cfRule>
  </conditionalFormatting>
  <conditionalFormatting sqref="R678:R682">
    <cfRule type="expression" dxfId="379" priority="389">
      <formula>$C678="110"</formula>
    </cfRule>
  </conditionalFormatting>
  <conditionalFormatting sqref="R685:R688">
    <cfRule type="expression" dxfId="378" priority="388">
      <formula>$C685="110"</formula>
    </cfRule>
  </conditionalFormatting>
  <conditionalFormatting sqref="R690:R696">
    <cfRule type="expression" dxfId="377" priority="387">
      <formula>$C690="110"</formula>
    </cfRule>
  </conditionalFormatting>
  <conditionalFormatting sqref="R698:R705">
    <cfRule type="expression" dxfId="376" priority="386">
      <formula>$C698="110"</formula>
    </cfRule>
  </conditionalFormatting>
  <conditionalFormatting sqref="R708:R713">
    <cfRule type="expression" dxfId="375" priority="385">
      <formula>$C708="110"</formula>
    </cfRule>
  </conditionalFormatting>
  <conditionalFormatting sqref="R721:R727">
    <cfRule type="expression" dxfId="374" priority="383">
      <formula>$C721="110"</formula>
    </cfRule>
  </conditionalFormatting>
  <conditionalFormatting sqref="R729:R744">
    <cfRule type="expression" dxfId="373" priority="382">
      <formula>$C729="110"</formula>
    </cfRule>
  </conditionalFormatting>
  <conditionalFormatting sqref="R616">
    <cfRule type="expression" dxfId="372" priority="381">
      <formula>$C616="110"</formula>
    </cfRule>
  </conditionalFormatting>
  <conditionalFormatting sqref="R504">
    <cfRule type="expression" dxfId="371" priority="380">
      <formula>$C504="110"</formula>
    </cfRule>
  </conditionalFormatting>
  <conditionalFormatting sqref="R379">
    <cfRule type="expression" dxfId="370" priority="379">
      <formula>$C379="110"</formula>
    </cfRule>
  </conditionalFormatting>
  <conditionalFormatting sqref="R647">
    <cfRule type="expression" dxfId="369" priority="378">
      <formula>$C647="110"</formula>
    </cfRule>
  </conditionalFormatting>
  <conditionalFormatting sqref="R371">
    <cfRule type="expression" dxfId="368" priority="377">
      <formula>$C371="110"</formula>
    </cfRule>
  </conditionalFormatting>
  <conditionalFormatting sqref="R355">
    <cfRule type="expression" dxfId="367" priority="376">
      <formula>$C355="110"</formula>
    </cfRule>
  </conditionalFormatting>
  <conditionalFormatting sqref="R746">
    <cfRule type="expression" dxfId="366" priority="375">
      <formula>$C746="110"</formula>
    </cfRule>
  </conditionalFormatting>
  <conditionalFormatting sqref="R356">
    <cfRule type="expression" dxfId="365" priority="374">
      <formula>$C356="110"</formula>
    </cfRule>
  </conditionalFormatting>
  <conditionalFormatting sqref="R376">
    <cfRule type="expression" dxfId="364" priority="373">
      <formula>$C376="110"</formula>
    </cfRule>
  </conditionalFormatting>
  <conditionalFormatting sqref="R367">
    <cfRule type="expression" dxfId="363" priority="372">
      <formula>$C367="110"</formula>
    </cfRule>
  </conditionalFormatting>
  <conditionalFormatting sqref="R373">
    <cfRule type="expression" dxfId="362" priority="371">
      <formula>$C373="110"</formula>
    </cfRule>
  </conditionalFormatting>
  <conditionalFormatting sqref="R394">
    <cfRule type="expression" dxfId="361" priority="370">
      <formula>$C394="110"</formula>
    </cfRule>
  </conditionalFormatting>
  <conditionalFormatting sqref="R402">
    <cfRule type="expression" dxfId="360" priority="369">
      <formula>$C402="110"</formula>
    </cfRule>
  </conditionalFormatting>
  <conditionalFormatting sqref="R406">
    <cfRule type="expression" dxfId="359" priority="368">
      <formula>$C406="110"</formula>
    </cfRule>
  </conditionalFormatting>
  <conditionalFormatting sqref="R409:R410">
    <cfRule type="expression" dxfId="358" priority="367">
      <formula>$C409="110"</formula>
    </cfRule>
  </conditionalFormatting>
  <conditionalFormatting sqref="R413">
    <cfRule type="expression" dxfId="357" priority="366">
      <formula>$C413="110"</formula>
    </cfRule>
  </conditionalFormatting>
  <conditionalFormatting sqref="R499">
    <cfRule type="expression" dxfId="356" priority="365">
      <formula>$C499="110"</formula>
    </cfRule>
  </conditionalFormatting>
  <conditionalFormatting sqref="R519:R521">
    <cfRule type="expression" dxfId="355" priority="364">
      <formula>$C519="110"</formula>
    </cfRule>
  </conditionalFormatting>
  <conditionalFormatting sqref="P748:P749 Q749:U749">
    <cfRule type="cellIs" dxfId="354" priority="363" operator="equal">
      <formula>"110"</formula>
    </cfRule>
  </conditionalFormatting>
  <conditionalFormatting sqref="P745 P498 P748:P749 Q749:U749">
    <cfRule type="expression" dxfId="353" priority="362">
      <formula>$C498="110"</formula>
    </cfRule>
  </conditionalFormatting>
  <conditionalFormatting sqref="P353">
    <cfRule type="expression" dxfId="352" priority="361">
      <formula>$C353="110"</formula>
    </cfRule>
  </conditionalFormatting>
  <conditionalFormatting sqref="P357:P366">
    <cfRule type="expression" dxfId="351" priority="360">
      <formula>$C357="110"</formula>
    </cfRule>
  </conditionalFormatting>
  <conditionalFormatting sqref="P354">
    <cfRule type="expression" dxfId="350" priority="359">
      <formula>$C354="110"</formula>
    </cfRule>
  </conditionalFormatting>
  <conditionalFormatting sqref="P368:P369">
    <cfRule type="expression" dxfId="349" priority="358">
      <formula>$C368="110"</formula>
    </cfRule>
  </conditionalFormatting>
  <conditionalFormatting sqref="P400">
    <cfRule type="expression" dxfId="348" priority="357">
      <formula>$C400="110"</formula>
    </cfRule>
  </conditionalFormatting>
  <conditionalFormatting sqref="P423:P425">
    <cfRule type="expression" dxfId="347" priority="356">
      <formula>$C423="110"</formula>
    </cfRule>
  </conditionalFormatting>
  <conditionalFormatting sqref="P428:P429 P431">
    <cfRule type="expression" dxfId="346" priority="355">
      <formula>$C428="110"</formula>
    </cfRule>
  </conditionalFormatting>
  <conditionalFormatting sqref="P441">
    <cfRule type="expression" dxfId="345" priority="354">
      <formula>$C441="110"</formula>
    </cfRule>
  </conditionalFormatting>
  <conditionalFormatting sqref="P652">
    <cfRule type="expression" dxfId="344" priority="353">
      <formula>$C652="110"</formula>
    </cfRule>
  </conditionalFormatting>
  <conditionalFormatting sqref="P715">
    <cfRule type="expression" dxfId="343" priority="352">
      <formula>$C715="110"</formula>
    </cfRule>
  </conditionalFormatting>
  <conditionalFormatting sqref="P414">
    <cfRule type="expression" dxfId="342" priority="348">
      <formula>$C414="110"</formula>
    </cfRule>
  </conditionalFormatting>
  <conditionalFormatting sqref="P374">
    <cfRule type="expression" dxfId="341" priority="351">
      <formula>$C374="110"</formula>
    </cfRule>
  </conditionalFormatting>
  <conditionalFormatting sqref="P403:P405">
    <cfRule type="expression" dxfId="340" priority="309">
      <formula>$C403="110"</formula>
    </cfRule>
  </conditionalFormatting>
  <conditionalFormatting sqref="P372">
    <cfRule type="expression" dxfId="339" priority="350">
      <formula>$C372="110"</formula>
    </cfRule>
  </conditionalFormatting>
  <conditionalFormatting sqref="P612:P613">
    <cfRule type="expression" dxfId="338" priority="323">
      <formula>$C612="110"</formula>
    </cfRule>
  </conditionalFormatting>
  <conditionalFormatting sqref="P377:P378 P380:P393">
    <cfRule type="expression" dxfId="337" priority="349">
      <formula>$C377="110"</formula>
    </cfRule>
  </conditionalFormatting>
  <conditionalFormatting sqref="P418">
    <cfRule type="expression" dxfId="336" priority="346">
      <formula>$C418="110"</formula>
    </cfRule>
  </conditionalFormatting>
  <conditionalFormatting sqref="P642">
    <cfRule type="expression" dxfId="335" priority="317">
      <formula>$C642="110"</formula>
    </cfRule>
  </conditionalFormatting>
  <conditionalFormatting sqref="P621">
    <cfRule type="expression" dxfId="334" priority="320">
      <formula>$C621="110"</formula>
    </cfRule>
  </conditionalFormatting>
  <conditionalFormatting sqref="P532">
    <cfRule type="expression" dxfId="333" priority="333">
      <formula>$C532="110"</formula>
    </cfRule>
  </conditionalFormatting>
  <conditionalFormatting sqref="P615">
    <cfRule type="expression" dxfId="332" priority="322">
      <formula>$C615="110"</formula>
    </cfRule>
  </conditionalFormatting>
  <conditionalFormatting sqref="P416">
    <cfRule type="expression" dxfId="331" priority="347">
      <formula>$C416="110"</formula>
    </cfRule>
  </conditionalFormatting>
  <conditionalFormatting sqref="P411:P412">
    <cfRule type="expression" dxfId="330" priority="307">
      <formula>$C411="110"</formula>
    </cfRule>
  </conditionalFormatting>
  <conditionalFormatting sqref="P430">
    <cfRule type="expression" dxfId="329" priority="345">
      <formula>$C430="110"</formula>
    </cfRule>
  </conditionalFormatting>
  <conditionalFormatting sqref="P435">
    <cfRule type="expression" dxfId="328" priority="344">
      <formula>$C435="110"</formula>
    </cfRule>
  </conditionalFormatting>
  <conditionalFormatting sqref="P445">
    <cfRule type="expression" dxfId="327" priority="343">
      <formula>$C445="110"</formula>
    </cfRule>
  </conditionalFormatting>
  <conditionalFormatting sqref="P448">
    <cfRule type="expression" dxfId="326" priority="342">
      <formula>$C448="110"</formula>
    </cfRule>
  </conditionalFormatting>
  <conditionalFormatting sqref="P458">
    <cfRule type="expression" dxfId="325" priority="341">
      <formula>$C458="110"</formula>
    </cfRule>
  </conditionalFormatting>
  <conditionalFormatting sqref="P469">
    <cfRule type="expression" dxfId="324" priority="340">
      <formula>$C469="110"</formula>
    </cfRule>
  </conditionalFormatting>
  <conditionalFormatting sqref="P478">
    <cfRule type="expression" dxfId="323" priority="339">
      <formula>$C478="110"</formula>
    </cfRule>
  </conditionalFormatting>
  <conditionalFormatting sqref="P487">
    <cfRule type="expression" dxfId="322" priority="338">
      <formula>$C487="110"</formula>
    </cfRule>
  </conditionalFormatting>
  <conditionalFormatting sqref="P501">
    <cfRule type="expression" dxfId="321" priority="337">
      <formula>$C501="110"</formula>
    </cfRule>
  </conditionalFormatting>
  <conditionalFormatting sqref="P514">
    <cfRule type="expression" dxfId="320" priority="336">
      <formula>$C514="110"</formula>
    </cfRule>
  </conditionalFormatting>
  <conditionalFormatting sqref="P518">
    <cfRule type="expression" dxfId="319" priority="335">
      <formula>$C518="110"</formula>
    </cfRule>
  </conditionalFormatting>
  <conditionalFormatting sqref="P523">
    <cfRule type="expression" dxfId="318" priority="334">
      <formula>$C523="110"</formula>
    </cfRule>
  </conditionalFormatting>
  <conditionalFormatting sqref="P477">
    <cfRule type="expression" dxfId="317" priority="296">
      <formula>$C477="110"</formula>
    </cfRule>
  </conditionalFormatting>
  <conditionalFormatting sqref="P534">
    <cfRule type="expression" dxfId="316" priority="332">
      <formula>$C534="110"</formula>
    </cfRule>
  </conditionalFormatting>
  <conditionalFormatting sqref="P566">
    <cfRule type="expression" dxfId="315" priority="331">
      <formula>$C566="110"</formula>
    </cfRule>
  </conditionalFormatting>
  <conditionalFormatting sqref="P570">
    <cfRule type="expression" dxfId="314" priority="330">
      <formula>$C570="110"</formula>
    </cfRule>
  </conditionalFormatting>
  <conditionalFormatting sqref="P572">
    <cfRule type="expression" dxfId="313" priority="329">
      <formula>$C572="110"</formula>
    </cfRule>
  </conditionalFormatting>
  <conditionalFormatting sqref="P577">
    <cfRule type="expression" dxfId="312" priority="328">
      <formula>$C577="110"</formula>
    </cfRule>
  </conditionalFormatting>
  <conditionalFormatting sqref="P583">
    <cfRule type="expression" dxfId="311" priority="327">
      <formula>$C583="110"</formula>
    </cfRule>
  </conditionalFormatting>
  <conditionalFormatting sqref="P596">
    <cfRule type="expression" dxfId="310" priority="326">
      <formula>$C596="110"</formula>
    </cfRule>
  </conditionalFormatting>
  <conditionalFormatting sqref="P600">
    <cfRule type="expression" dxfId="309" priority="325">
      <formula>$C600="110"</formula>
    </cfRule>
  </conditionalFormatting>
  <conditionalFormatting sqref="P606">
    <cfRule type="expression" dxfId="308" priority="324">
      <formula>$C606="110"</formula>
    </cfRule>
  </conditionalFormatting>
  <conditionalFormatting sqref="P617">
    <cfRule type="expression" dxfId="307" priority="321">
      <formula>$C617="110"</formula>
    </cfRule>
  </conditionalFormatting>
  <conditionalFormatting sqref="P625">
    <cfRule type="expression" dxfId="306" priority="319">
      <formula>$C625="110"</formula>
    </cfRule>
  </conditionalFormatting>
  <conditionalFormatting sqref="P634">
    <cfRule type="expression" dxfId="305" priority="318">
      <formula>$C634="110"</formula>
    </cfRule>
  </conditionalFormatting>
  <conditionalFormatting sqref="P653">
    <cfRule type="expression" dxfId="304" priority="316">
      <formula>$C653="110"</formula>
    </cfRule>
  </conditionalFormatting>
  <conditionalFormatting sqref="P665">
    <cfRule type="expression" dxfId="303" priority="315">
      <formula>$C665="110"</formula>
    </cfRule>
  </conditionalFormatting>
  <conditionalFormatting sqref="P684">
    <cfRule type="expression" dxfId="302" priority="314">
      <formula>$C684="110"</formula>
    </cfRule>
  </conditionalFormatting>
  <conditionalFormatting sqref="P716">
    <cfRule type="expression" dxfId="301" priority="313">
      <formula>$C716="110"</formula>
    </cfRule>
  </conditionalFormatting>
  <conditionalFormatting sqref="P720">
    <cfRule type="expression" dxfId="300" priority="312">
      <formula>$C720="110"</formula>
    </cfRule>
  </conditionalFormatting>
  <conditionalFormatting sqref="P728">
    <cfRule type="expression" dxfId="299" priority="311">
      <formula>$C728="110"</formula>
    </cfRule>
  </conditionalFormatting>
  <conditionalFormatting sqref="P420:P421">
    <cfRule type="expression" dxfId="298" priority="305">
      <formula>$C420="110"</formula>
    </cfRule>
  </conditionalFormatting>
  <conditionalFormatting sqref="P396:P398">
    <cfRule type="expression" dxfId="297" priority="310">
      <formula>$C396="110"</formula>
    </cfRule>
  </conditionalFormatting>
  <conditionalFormatting sqref="P407:P408">
    <cfRule type="expression" dxfId="296" priority="308">
      <formula>$C407="110"</formula>
    </cfRule>
  </conditionalFormatting>
  <conditionalFormatting sqref="P417">
    <cfRule type="expression" dxfId="295" priority="306">
      <formula>$C417="110"</formula>
    </cfRule>
  </conditionalFormatting>
  <conditionalFormatting sqref="P717:P719">
    <cfRule type="expression" dxfId="294" priority="266">
      <formula>$C717="110"</formula>
    </cfRule>
  </conditionalFormatting>
  <conditionalFormatting sqref="P432:P434">
    <cfRule type="expression" dxfId="293" priority="304">
      <formula>$C432="110"</formula>
    </cfRule>
  </conditionalFormatting>
  <conditionalFormatting sqref="P436:P439">
    <cfRule type="expression" dxfId="292" priority="303">
      <formula>$C436="110"</formula>
    </cfRule>
  </conditionalFormatting>
  <conditionalFormatting sqref="P442:P443">
    <cfRule type="expression" dxfId="291" priority="302">
      <formula>$C442="110"</formula>
    </cfRule>
  </conditionalFormatting>
  <conditionalFormatting sqref="P446:P447">
    <cfRule type="expression" dxfId="290" priority="301">
      <formula>$C446="110"</formula>
    </cfRule>
  </conditionalFormatting>
  <conditionalFormatting sqref="P449:P452">
    <cfRule type="expression" dxfId="289" priority="300">
      <formula>$C449="110"</formula>
    </cfRule>
  </conditionalFormatting>
  <conditionalFormatting sqref="P454:P457">
    <cfRule type="expression" dxfId="288" priority="299">
      <formula>$C454="110"</formula>
    </cfRule>
  </conditionalFormatting>
  <conditionalFormatting sqref="P459:P467">
    <cfRule type="expression" dxfId="287" priority="298">
      <formula>$C459="110"</formula>
    </cfRule>
  </conditionalFormatting>
  <conditionalFormatting sqref="P470:P474">
    <cfRule type="expression" dxfId="286" priority="297">
      <formula>$C470="110"</formula>
    </cfRule>
  </conditionalFormatting>
  <conditionalFormatting sqref="P479:P484">
    <cfRule type="expression" dxfId="285" priority="295">
      <formula>$C479="110"</formula>
    </cfRule>
  </conditionalFormatting>
  <conditionalFormatting sqref="P486">
    <cfRule type="expression" dxfId="284" priority="294">
      <formula>$C486="110"</formula>
    </cfRule>
  </conditionalFormatting>
  <conditionalFormatting sqref="P488:P497">
    <cfRule type="expression" dxfId="283" priority="293">
      <formula>$C488="110"</formula>
    </cfRule>
  </conditionalFormatting>
  <conditionalFormatting sqref="P502:P503 P505:P513">
    <cfRule type="expression" dxfId="282" priority="292">
      <formula>$C502="110"</formula>
    </cfRule>
  </conditionalFormatting>
  <conditionalFormatting sqref="P515:P517">
    <cfRule type="expression" dxfId="281" priority="291">
      <formula>$C515="110"</formula>
    </cfRule>
  </conditionalFormatting>
  <conditionalFormatting sqref="P524:P526">
    <cfRule type="expression" dxfId="280" priority="290">
      <formula>$C524="110"</formula>
    </cfRule>
  </conditionalFormatting>
  <conditionalFormatting sqref="P528:P530">
    <cfRule type="expression" dxfId="279" priority="289">
      <formula>$C528="110"</formula>
    </cfRule>
  </conditionalFormatting>
  <conditionalFormatting sqref="P535:P565">
    <cfRule type="expression" dxfId="278" priority="288">
      <formula>$C535="110"</formula>
    </cfRule>
  </conditionalFormatting>
  <conditionalFormatting sqref="P567:P569">
    <cfRule type="expression" dxfId="277" priority="287">
      <formula>$C567="110"</formula>
    </cfRule>
  </conditionalFormatting>
  <conditionalFormatting sqref="P573:P575">
    <cfRule type="expression" dxfId="276" priority="286">
      <formula>$C573="110"</formula>
    </cfRule>
  </conditionalFormatting>
  <conditionalFormatting sqref="P578:P581">
    <cfRule type="expression" dxfId="275" priority="285">
      <formula>$C578="110"</formula>
    </cfRule>
  </conditionalFormatting>
  <conditionalFormatting sqref="P584:P595">
    <cfRule type="expression" dxfId="274" priority="284">
      <formula>$C584="110"</formula>
    </cfRule>
  </conditionalFormatting>
  <conditionalFormatting sqref="P599">
    <cfRule type="expression" dxfId="273" priority="283">
      <formula>$C599="110"</formula>
    </cfRule>
  </conditionalFormatting>
  <conditionalFormatting sqref="P601:P605">
    <cfRule type="expression" dxfId="272" priority="282">
      <formula>$C601="110"</formula>
    </cfRule>
  </conditionalFormatting>
  <conditionalFormatting sqref="P607:P611">
    <cfRule type="expression" dxfId="271" priority="281">
      <formula>$C607="110"</formula>
    </cfRule>
  </conditionalFormatting>
  <conditionalFormatting sqref="P614">
    <cfRule type="expression" dxfId="270" priority="280">
      <formula>$C614="110"</formula>
    </cfRule>
  </conditionalFormatting>
  <conditionalFormatting sqref="P618:P620">
    <cfRule type="expression" dxfId="269" priority="279">
      <formula>$C618="110"</formula>
    </cfRule>
  </conditionalFormatting>
  <conditionalFormatting sqref="P622:P623">
    <cfRule type="expression" dxfId="268" priority="278">
      <formula>$C622="110"</formula>
    </cfRule>
  </conditionalFormatting>
  <conditionalFormatting sqref="P626:P633">
    <cfRule type="expression" dxfId="267" priority="277">
      <formula>$C626="110"</formula>
    </cfRule>
  </conditionalFormatting>
  <conditionalFormatting sqref="P635:P638">
    <cfRule type="expression" dxfId="266" priority="276">
      <formula>$C635="110"</formula>
    </cfRule>
  </conditionalFormatting>
  <conditionalFormatting sqref="P641">
    <cfRule type="expression" dxfId="265" priority="275">
      <formula>$C641="110"</formula>
    </cfRule>
  </conditionalFormatting>
  <conditionalFormatting sqref="P643:P646 P648:P650">
    <cfRule type="expression" dxfId="264" priority="274">
      <formula>$C643="110"</formula>
    </cfRule>
  </conditionalFormatting>
  <conditionalFormatting sqref="P654:P663">
    <cfRule type="expression" dxfId="263" priority="273">
      <formula>$C654="110"</formula>
    </cfRule>
  </conditionalFormatting>
  <conditionalFormatting sqref="P666:P676">
    <cfRule type="expression" dxfId="262" priority="272">
      <formula>$C666="110"</formula>
    </cfRule>
  </conditionalFormatting>
  <conditionalFormatting sqref="P678:P682">
    <cfRule type="expression" dxfId="261" priority="271">
      <formula>$C678="110"</formula>
    </cfRule>
  </conditionalFormatting>
  <conditionalFormatting sqref="P685:P688">
    <cfRule type="expression" dxfId="260" priority="270">
      <formula>$C685="110"</formula>
    </cfRule>
  </conditionalFormatting>
  <conditionalFormatting sqref="P690:P696">
    <cfRule type="expression" dxfId="259" priority="269">
      <formula>$C690="110"</formula>
    </cfRule>
  </conditionalFormatting>
  <conditionalFormatting sqref="P698:P705">
    <cfRule type="expression" dxfId="258" priority="268">
      <formula>$C698="110"</formula>
    </cfRule>
  </conditionalFormatting>
  <conditionalFormatting sqref="P708:P713">
    <cfRule type="expression" dxfId="257" priority="267">
      <formula>$C708="110"</formula>
    </cfRule>
  </conditionalFormatting>
  <conditionalFormatting sqref="P721:P727">
    <cfRule type="expression" dxfId="256" priority="265">
      <formula>$C721="110"</formula>
    </cfRule>
  </conditionalFormatting>
  <conditionalFormatting sqref="P729:P744">
    <cfRule type="expression" dxfId="255" priority="264">
      <formula>$C729="110"</formula>
    </cfRule>
  </conditionalFormatting>
  <conditionalFormatting sqref="P616">
    <cfRule type="expression" dxfId="254" priority="263">
      <formula>$C616="110"</formula>
    </cfRule>
  </conditionalFormatting>
  <conditionalFormatting sqref="P504">
    <cfRule type="expression" dxfId="253" priority="262">
      <formula>$C504="110"</formula>
    </cfRule>
  </conditionalFormatting>
  <conditionalFormatting sqref="P379">
    <cfRule type="expression" dxfId="252" priority="261">
      <formula>$C379="110"</formula>
    </cfRule>
  </conditionalFormatting>
  <conditionalFormatting sqref="P647">
    <cfRule type="expression" dxfId="251" priority="260">
      <formula>$C647="110"</formula>
    </cfRule>
  </conditionalFormatting>
  <conditionalFormatting sqref="P371">
    <cfRule type="expression" dxfId="250" priority="259">
      <formula>$C371="110"</formula>
    </cfRule>
  </conditionalFormatting>
  <conditionalFormatting sqref="P355">
    <cfRule type="expression" dxfId="249" priority="258">
      <formula>$C355="110"</formula>
    </cfRule>
  </conditionalFormatting>
  <conditionalFormatting sqref="P746">
    <cfRule type="expression" dxfId="248" priority="257">
      <formula>$C746="110"</formula>
    </cfRule>
  </conditionalFormatting>
  <conditionalFormatting sqref="P356">
    <cfRule type="expression" dxfId="247" priority="256">
      <formula>$C356="110"</formula>
    </cfRule>
  </conditionalFormatting>
  <conditionalFormatting sqref="P376">
    <cfRule type="expression" dxfId="246" priority="255">
      <formula>$C376="110"</formula>
    </cfRule>
  </conditionalFormatting>
  <conditionalFormatting sqref="P367">
    <cfRule type="expression" dxfId="245" priority="254">
      <formula>$C367="110"</formula>
    </cfRule>
  </conditionalFormatting>
  <conditionalFormatting sqref="P373">
    <cfRule type="expression" dxfId="244" priority="253">
      <formula>$C373="110"</formula>
    </cfRule>
  </conditionalFormatting>
  <conditionalFormatting sqref="P394">
    <cfRule type="expression" dxfId="243" priority="252">
      <formula>$C394="110"</formula>
    </cfRule>
  </conditionalFormatting>
  <conditionalFormatting sqref="P402">
    <cfRule type="expression" dxfId="242" priority="251">
      <formula>$C402="110"</formula>
    </cfRule>
  </conditionalFormatting>
  <conditionalFormatting sqref="P406">
    <cfRule type="expression" dxfId="241" priority="250">
      <formula>$C406="110"</formula>
    </cfRule>
  </conditionalFormatting>
  <conditionalFormatting sqref="P409:P410">
    <cfRule type="expression" dxfId="240" priority="249">
      <formula>$C409="110"</formula>
    </cfRule>
  </conditionalFormatting>
  <conditionalFormatting sqref="P413">
    <cfRule type="expression" dxfId="239" priority="248">
      <formula>$C413="110"</formula>
    </cfRule>
  </conditionalFormatting>
  <conditionalFormatting sqref="P499">
    <cfRule type="expression" dxfId="238" priority="247">
      <formula>$C499="110"</formula>
    </cfRule>
  </conditionalFormatting>
  <conditionalFormatting sqref="P519:P521">
    <cfRule type="expression" dxfId="237" priority="246">
      <formula>$C519="110"</formula>
    </cfRule>
  </conditionalFormatting>
  <conditionalFormatting sqref="W498">
    <cfRule type="expression" dxfId="236" priority="245">
      <formula>$E498="110"</formula>
    </cfRule>
  </conditionalFormatting>
  <conditionalFormatting sqref="Q748:Q749">
    <cfRule type="cellIs" dxfId="235" priority="244" operator="equal">
      <formula>"110"</formula>
    </cfRule>
  </conditionalFormatting>
  <conditionalFormatting sqref="Q745 Q498 Q748:Q749">
    <cfRule type="expression" dxfId="234" priority="243">
      <formula>$C498="110"</formula>
    </cfRule>
  </conditionalFormatting>
  <conditionalFormatting sqref="Q353">
    <cfRule type="expression" dxfId="233" priority="242">
      <formula>$C353="110"</formula>
    </cfRule>
  </conditionalFormatting>
  <conditionalFormatting sqref="Q357:Q366">
    <cfRule type="expression" dxfId="232" priority="241">
      <formula>$C357="110"</formula>
    </cfRule>
  </conditionalFormatting>
  <conditionalFormatting sqref="Q354">
    <cfRule type="expression" dxfId="231" priority="240">
      <formula>$C354="110"</formula>
    </cfRule>
  </conditionalFormatting>
  <conditionalFormatting sqref="Q368:Q369">
    <cfRule type="expression" dxfId="230" priority="239">
      <formula>$C368="110"</formula>
    </cfRule>
  </conditionalFormatting>
  <conditionalFormatting sqref="Q400">
    <cfRule type="expression" dxfId="229" priority="238">
      <formula>$C400="110"</formula>
    </cfRule>
  </conditionalFormatting>
  <conditionalFormatting sqref="Q423:Q425">
    <cfRule type="expression" dxfId="228" priority="237">
      <formula>$C423="110"</formula>
    </cfRule>
  </conditionalFormatting>
  <conditionalFormatting sqref="Q428:Q429 Q431">
    <cfRule type="expression" dxfId="227" priority="236">
      <formula>$C428="110"</formula>
    </cfRule>
  </conditionalFormatting>
  <conditionalFormatting sqref="Q441">
    <cfRule type="expression" dxfId="226" priority="235">
      <formula>$C441="110"</formula>
    </cfRule>
  </conditionalFormatting>
  <conditionalFormatting sqref="Q652">
    <cfRule type="expression" dxfId="225" priority="234">
      <formula>$C652="110"</formula>
    </cfRule>
  </conditionalFormatting>
  <conditionalFormatting sqref="Q715">
    <cfRule type="expression" dxfId="224" priority="233">
      <formula>$C715="110"</formula>
    </cfRule>
  </conditionalFormatting>
  <conditionalFormatting sqref="Q414">
    <cfRule type="expression" dxfId="223" priority="229">
      <formula>$C414="110"</formula>
    </cfRule>
  </conditionalFormatting>
  <conditionalFormatting sqref="Q374">
    <cfRule type="expression" dxfId="222" priority="232">
      <formula>$C374="110"</formula>
    </cfRule>
  </conditionalFormatting>
  <conditionalFormatting sqref="Q403:Q405">
    <cfRule type="expression" dxfId="221" priority="190">
      <formula>$C403="110"</formula>
    </cfRule>
  </conditionalFormatting>
  <conditionalFormatting sqref="Q372">
    <cfRule type="expression" dxfId="220" priority="231">
      <formula>$C372="110"</formula>
    </cfRule>
  </conditionalFormatting>
  <conditionalFormatting sqref="Q612:Q613">
    <cfRule type="expression" dxfId="219" priority="204">
      <formula>$C612="110"</formula>
    </cfRule>
  </conditionalFormatting>
  <conditionalFormatting sqref="Q377:Q378 Q380:Q393">
    <cfRule type="expression" dxfId="218" priority="230">
      <formula>$C377="110"</formula>
    </cfRule>
  </conditionalFormatting>
  <conditionalFormatting sqref="Q418">
    <cfRule type="expression" dxfId="217" priority="227">
      <formula>$C418="110"</formula>
    </cfRule>
  </conditionalFormatting>
  <conditionalFormatting sqref="Q642">
    <cfRule type="expression" dxfId="216" priority="198">
      <formula>$C642="110"</formula>
    </cfRule>
  </conditionalFormatting>
  <conditionalFormatting sqref="Q621">
    <cfRule type="expression" dxfId="215" priority="201">
      <formula>$C621="110"</formula>
    </cfRule>
  </conditionalFormatting>
  <conditionalFormatting sqref="Q532">
    <cfRule type="expression" dxfId="214" priority="214">
      <formula>$C532="110"</formula>
    </cfRule>
  </conditionalFormatting>
  <conditionalFormatting sqref="Q615">
    <cfRule type="expression" dxfId="213" priority="203">
      <formula>$C615="110"</formula>
    </cfRule>
  </conditionalFormatting>
  <conditionalFormatting sqref="Q416">
    <cfRule type="expression" dxfId="212" priority="228">
      <formula>$C416="110"</formula>
    </cfRule>
  </conditionalFormatting>
  <conditionalFormatting sqref="Q411:Q412">
    <cfRule type="expression" dxfId="211" priority="188">
      <formula>$C411="110"</formula>
    </cfRule>
  </conditionalFormatting>
  <conditionalFormatting sqref="Q430">
    <cfRule type="expression" dxfId="210" priority="226">
      <formula>$C430="110"</formula>
    </cfRule>
  </conditionalFormatting>
  <conditionalFormatting sqref="Q435">
    <cfRule type="expression" dxfId="209" priority="225">
      <formula>$C435="110"</formula>
    </cfRule>
  </conditionalFormatting>
  <conditionalFormatting sqref="Q445">
    <cfRule type="expression" dxfId="208" priority="224">
      <formula>$C445="110"</formula>
    </cfRule>
  </conditionalFormatting>
  <conditionalFormatting sqref="Q448">
    <cfRule type="expression" dxfId="207" priority="223">
      <formula>$C448="110"</formula>
    </cfRule>
  </conditionalFormatting>
  <conditionalFormatting sqref="Q458">
    <cfRule type="expression" dxfId="206" priority="222">
      <formula>$C458="110"</formula>
    </cfRule>
  </conditionalFormatting>
  <conditionalFormatting sqref="Q469">
    <cfRule type="expression" dxfId="205" priority="221">
      <formula>$C469="110"</formula>
    </cfRule>
  </conditionalFormatting>
  <conditionalFormatting sqref="Q478">
    <cfRule type="expression" dxfId="204" priority="220">
      <formula>$C478="110"</formula>
    </cfRule>
  </conditionalFormatting>
  <conditionalFormatting sqref="Q487">
    <cfRule type="expression" dxfId="203" priority="219">
      <formula>$C487="110"</formula>
    </cfRule>
  </conditionalFormatting>
  <conditionalFormatting sqref="Q501">
    <cfRule type="expression" dxfId="202" priority="218">
      <formula>$C501="110"</formula>
    </cfRule>
  </conditionalFormatting>
  <conditionalFormatting sqref="Q514">
    <cfRule type="expression" dxfId="201" priority="217">
      <formula>$C514="110"</formula>
    </cfRule>
  </conditionalFormatting>
  <conditionalFormatting sqref="Q518">
    <cfRule type="expression" dxfId="200" priority="216">
      <formula>$C518="110"</formula>
    </cfRule>
  </conditionalFormatting>
  <conditionalFormatting sqref="Q523">
    <cfRule type="expression" dxfId="199" priority="215">
      <formula>$C523="110"</formula>
    </cfRule>
  </conditionalFormatting>
  <conditionalFormatting sqref="Q477">
    <cfRule type="expression" dxfId="198" priority="177">
      <formula>$C477="110"</formula>
    </cfRule>
  </conditionalFormatting>
  <conditionalFormatting sqref="Q534">
    <cfRule type="expression" dxfId="197" priority="213">
      <formula>$C534="110"</formula>
    </cfRule>
  </conditionalFormatting>
  <conditionalFormatting sqref="Q566">
    <cfRule type="expression" dxfId="196" priority="212">
      <formula>$C566="110"</formula>
    </cfRule>
  </conditionalFormatting>
  <conditionalFormatting sqref="Q570">
    <cfRule type="expression" dxfId="195" priority="211">
      <formula>$C570="110"</formula>
    </cfRule>
  </conditionalFormatting>
  <conditionalFormatting sqref="Q572">
    <cfRule type="expression" dxfId="194" priority="210">
      <formula>$C572="110"</formula>
    </cfRule>
  </conditionalFormatting>
  <conditionalFormatting sqref="Q577">
    <cfRule type="expression" dxfId="193" priority="209">
      <formula>$C577="110"</formula>
    </cfRule>
  </conditionalFormatting>
  <conditionalFormatting sqref="Q583">
    <cfRule type="expression" dxfId="192" priority="208">
      <formula>$C583="110"</formula>
    </cfRule>
  </conditionalFormatting>
  <conditionalFormatting sqref="Q596">
    <cfRule type="expression" dxfId="191" priority="207">
      <formula>$C596="110"</formula>
    </cfRule>
  </conditionalFormatting>
  <conditionalFormatting sqref="Q600">
    <cfRule type="expression" dxfId="190" priority="206">
      <formula>$C600="110"</formula>
    </cfRule>
  </conditionalFormatting>
  <conditionalFormatting sqref="Q606">
    <cfRule type="expression" dxfId="189" priority="205">
      <formula>$C606="110"</formula>
    </cfRule>
  </conditionalFormatting>
  <conditionalFormatting sqref="Q617">
    <cfRule type="expression" dxfId="188" priority="202">
      <formula>$C617="110"</formula>
    </cfRule>
  </conditionalFormatting>
  <conditionalFormatting sqref="Q625">
    <cfRule type="expression" dxfId="187" priority="200">
      <formula>$C625="110"</formula>
    </cfRule>
  </conditionalFormatting>
  <conditionalFormatting sqref="Q634">
    <cfRule type="expression" dxfId="186" priority="199">
      <formula>$C634="110"</formula>
    </cfRule>
  </conditionalFormatting>
  <conditionalFormatting sqref="Q653">
    <cfRule type="expression" dxfId="185" priority="197">
      <formula>$C653="110"</formula>
    </cfRule>
  </conditionalFormatting>
  <conditionalFormatting sqref="Q665">
    <cfRule type="expression" dxfId="184" priority="196">
      <formula>$C665="110"</formula>
    </cfRule>
  </conditionalFormatting>
  <conditionalFormatting sqref="Q684">
    <cfRule type="expression" dxfId="183" priority="195">
      <formula>$C684="110"</formula>
    </cfRule>
  </conditionalFormatting>
  <conditionalFormatting sqref="Q716">
    <cfRule type="expression" dxfId="182" priority="194">
      <formula>$C716="110"</formula>
    </cfRule>
  </conditionalFormatting>
  <conditionalFormatting sqref="Q720">
    <cfRule type="expression" dxfId="181" priority="193">
      <formula>$C720="110"</formula>
    </cfRule>
  </conditionalFormatting>
  <conditionalFormatting sqref="Q728">
    <cfRule type="expression" dxfId="180" priority="192">
      <formula>$C728="110"</formula>
    </cfRule>
  </conditionalFormatting>
  <conditionalFormatting sqref="Q420:Q421">
    <cfRule type="expression" dxfId="179" priority="186">
      <formula>$C420="110"</formula>
    </cfRule>
  </conditionalFormatting>
  <conditionalFormatting sqref="Q396:Q398">
    <cfRule type="expression" dxfId="178" priority="191">
      <formula>$C396="110"</formula>
    </cfRule>
  </conditionalFormatting>
  <conditionalFormatting sqref="Q407:Q408">
    <cfRule type="expression" dxfId="177" priority="189">
      <formula>$C407="110"</formula>
    </cfRule>
  </conditionalFormatting>
  <conditionalFormatting sqref="Q417">
    <cfRule type="expression" dxfId="176" priority="187">
      <formula>$C417="110"</formula>
    </cfRule>
  </conditionalFormatting>
  <conditionalFormatting sqref="Q717:Q719">
    <cfRule type="expression" dxfId="175" priority="147">
      <formula>$C717="110"</formula>
    </cfRule>
  </conditionalFormatting>
  <conditionalFormatting sqref="Q432:Q434">
    <cfRule type="expression" dxfId="174" priority="185">
      <formula>$C432="110"</formula>
    </cfRule>
  </conditionalFormatting>
  <conditionalFormatting sqref="Q436:Q439">
    <cfRule type="expression" dxfId="173" priority="184">
      <formula>$C436="110"</formula>
    </cfRule>
  </conditionalFormatting>
  <conditionalFormatting sqref="Q442:Q443">
    <cfRule type="expression" dxfId="172" priority="183">
      <formula>$C442="110"</formula>
    </cfRule>
  </conditionalFormatting>
  <conditionalFormatting sqref="Q446:Q447">
    <cfRule type="expression" dxfId="171" priority="182">
      <formula>$C446="110"</formula>
    </cfRule>
  </conditionalFormatting>
  <conditionalFormatting sqref="Q449:Q452">
    <cfRule type="expression" dxfId="170" priority="181">
      <formula>$C449="110"</formula>
    </cfRule>
  </conditionalFormatting>
  <conditionalFormatting sqref="Q454:Q457">
    <cfRule type="expression" dxfId="169" priority="180">
      <formula>$C454="110"</formula>
    </cfRule>
  </conditionalFormatting>
  <conditionalFormatting sqref="Q459:Q467">
    <cfRule type="expression" dxfId="168" priority="179">
      <formula>$C459="110"</formula>
    </cfRule>
  </conditionalFormatting>
  <conditionalFormatting sqref="Q470:Q474">
    <cfRule type="expression" dxfId="167" priority="178">
      <formula>$C470="110"</formula>
    </cfRule>
  </conditionalFormatting>
  <conditionalFormatting sqref="Q479:Q484">
    <cfRule type="expression" dxfId="166" priority="176">
      <formula>$C479="110"</formula>
    </cfRule>
  </conditionalFormatting>
  <conditionalFormatting sqref="Q486">
    <cfRule type="expression" dxfId="165" priority="175">
      <formula>$C486="110"</formula>
    </cfRule>
  </conditionalFormatting>
  <conditionalFormatting sqref="Q488:Q497">
    <cfRule type="expression" dxfId="164" priority="174">
      <formula>$C488="110"</formula>
    </cfRule>
  </conditionalFormatting>
  <conditionalFormatting sqref="Q502:Q503 Q505:Q513">
    <cfRule type="expression" dxfId="163" priority="173">
      <formula>$C502="110"</formula>
    </cfRule>
  </conditionalFormatting>
  <conditionalFormatting sqref="Q515:Q517">
    <cfRule type="expression" dxfId="162" priority="172">
      <formula>$C515="110"</formula>
    </cfRule>
  </conditionalFormatting>
  <conditionalFormatting sqref="Q524:Q526">
    <cfRule type="expression" dxfId="161" priority="171">
      <formula>$C524="110"</formula>
    </cfRule>
  </conditionalFormatting>
  <conditionalFormatting sqref="Q528:Q530">
    <cfRule type="expression" dxfId="160" priority="170">
      <formula>$C528="110"</formula>
    </cfRule>
  </conditionalFormatting>
  <conditionalFormatting sqref="Q535:Q565">
    <cfRule type="expression" dxfId="159" priority="169">
      <formula>$C535="110"</formula>
    </cfRule>
  </conditionalFormatting>
  <conditionalFormatting sqref="Q567:Q569">
    <cfRule type="expression" dxfId="158" priority="168">
      <formula>$C567="110"</formula>
    </cfRule>
  </conditionalFormatting>
  <conditionalFormatting sqref="Q573:Q575">
    <cfRule type="expression" dxfId="157" priority="167">
      <formula>$C573="110"</formula>
    </cfRule>
  </conditionalFormatting>
  <conditionalFormatting sqref="Q578:Q581">
    <cfRule type="expression" dxfId="156" priority="166">
      <formula>$C578="110"</formula>
    </cfRule>
  </conditionalFormatting>
  <conditionalFormatting sqref="Q584:Q595">
    <cfRule type="expression" dxfId="155" priority="165">
      <formula>$C584="110"</formula>
    </cfRule>
  </conditionalFormatting>
  <conditionalFormatting sqref="Q599">
    <cfRule type="expression" dxfId="154" priority="164">
      <formula>$C599="110"</formula>
    </cfRule>
  </conditionalFormatting>
  <conditionalFormatting sqref="Q601:Q605">
    <cfRule type="expression" dxfId="153" priority="163">
      <formula>$C601="110"</formula>
    </cfRule>
  </conditionalFormatting>
  <conditionalFormatting sqref="Q607:Q611">
    <cfRule type="expression" dxfId="152" priority="162">
      <formula>$C607="110"</formula>
    </cfRule>
  </conditionalFormatting>
  <conditionalFormatting sqref="Q614">
    <cfRule type="expression" dxfId="151" priority="161">
      <formula>$C614="110"</formula>
    </cfRule>
  </conditionalFormatting>
  <conditionalFormatting sqref="Q618:Q620">
    <cfRule type="expression" dxfId="150" priority="160">
      <formula>$C618="110"</formula>
    </cfRule>
  </conditionalFormatting>
  <conditionalFormatting sqref="Q622:Q623">
    <cfRule type="expression" dxfId="149" priority="159">
      <formula>$C622="110"</formula>
    </cfRule>
  </conditionalFormatting>
  <conditionalFormatting sqref="Q626:Q633">
    <cfRule type="expression" dxfId="148" priority="158">
      <formula>$C626="110"</formula>
    </cfRule>
  </conditionalFormatting>
  <conditionalFormatting sqref="Q635:Q638">
    <cfRule type="expression" dxfId="147" priority="157">
      <formula>$C635="110"</formula>
    </cfRule>
  </conditionalFormatting>
  <conditionalFormatting sqref="Q641">
    <cfRule type="expression" dxfId="146" priority="156">
      <formula>$C641="110"</formula>
    </cfRule>
  </conditionalFormatting>
  <conditionalFormatting sqref="Q643:Q646 Q648:Q650">
    <cfRule type="expression" dxfId="145" priority="155">
      <formula>$C643="110"</formula>
    </cfRule>
  </conditionalFormatting>
  <conditionalFormatting sqref="Q654:Q663">
    <cfRule type="expression" dxfId="144" priority="154">
      <formula>$C654="110"</formula>
    </cfRule>
  </conditionalFormatting>
  <conditionalFormatting sqref="Q666:Q676">
    <cfRule type="expression" dxfId="143" priority="153">
      <formula>$C666="110"</formula>
    </cfRule>
  </conditionalFormatting>
  <conditionalFormatting sqref="Q678:Q682">
    <cfRule type="expression" dxfId="142" priority="152">
      <formula>$C678="110"</formula>
    </cfRule>
  </conditionalFormatting>
  <conditionalFormatting sqref="Q685:Q688">
    <cfRule type="expression" dxfId="141" priority="151">
      <formula>$C685="110"</formula>
    </cfRule>
  </conditionalFormatting>
  <conditionalFormatting sqref="Q690:Q696">
    <cfRule type="expression" dxfId="140" priority="150">
      <formula>$C690="110"</formula>
    </cfRule>
  </conditionalFormatting>
  <conditionalFormatting sqref="Q698:Q705">
    <cfRule type="expression" dxfId="139" priority="149">
      <formula>$C698="110"</formula>
    </cfRule>
  </conditionalFormatting>
  <conditionalFormatting sqref="Q708:Q713">
    <cfRule type="expression" dxfId="138" priority="148">
      <formula>$C708="110"</formula>
    </cfRule>
  </conditionalFormatting>
  <conditionalFormatting sqref="Q721:Q727">
    <cfRule type="expression" dxfId="137" priority="146">
      <formula>$C721="110"</formula>
    </cfRule>
  </conditionalFormatting>
  <conditionalFormatting sqref="Q729:Q744">
    <cfRule type="expression" dxfId="136" priority="145">
      <formula>$C729="110"</formula>
    </cfRule>
  </conditionalFormatting>
  <conditionalFormatting sqref="Q616">
    <cfRule type="expression" dxfId="135" priority="144">
      <formula>$C616="110"</formula>
    </cfRule>
  </conditionalFormatting>
  <conditionalFormatting sqref="Q504">
    <cfRule type="expression" dxfId="134" priority="143">
      <formula>$C504="110"</formula>
    </cfRule>
  </conditionalFormatting>
  <conditionalFormatting sqref="Q379">
    <cfRule type="expression" dxfId="133" priority="142">
      <formula>$C379="110"</formula>
    </cfRule>
  </conditionalFormatting>
  <conditionalFormatting sqref="Q647">
    <cfRule type="expression" dxfId="132" priority="141">
      <formula>$C647="110"</formula>
    </cfRule>
  </conditionalFormatting>
  <conditionalFormatting sqref="Q371">
    <cfRule type="expression" dxfId="131" priority="140">
      <formula>$C371="110"</formula>
    </cfRule>
  </conditionalFormatting>
  <conditionalFormatting sqref="Q355">
    <cfRule type="expression" dxfId="130" priority="139">
      <formula>$C355="110"</formula>
    </cfRule>
  </conditionalFormatting>
  <conditionalFormatting sqref="Q746">
    <cfRule type="expression" dxfId="129" priority="138">
      <formula>$C746="110"</formula>
    </cfRule>
  </conditionalFormatting>
  <conditionalFormatting sqref="Q356">
    <cfRule type="expression" dxfId="128" priority="137">
      <formula>$C356="110"</formula>
    </cfRule>
  </conditionalFormatting>
  <conditionalFormatting sqref="Q376">
    <cfRule type="expression" dxfId="127" priority="136">
      <formula>$C376="110"</formula>
    </cfRule>
  </conditionalFormatting>
  <conditionalFormatting sqref="Q367">
    <cfRule type="expression" dxfId="126" priority="135">
      <formula>$C367="110"</formula>
    </cfRule>
  </conditionalFormatting>
  <conditionalFormatting sqref="Q373">
    <cfRule type="expression" dxfId="125" priority="134">
      <formula>$C373="110"</formula>
    </cfRule>
  </conditionalFormatting>
  <conditionalFormatting sqref="Q394">
    <cfRule type="expression" dxfId="124" priority="133">
      <formula>$C394="110"</formula>
    </cfRule>
  </conditionalFormatting>
  <conditionalFormatting sqref="Q402">
    <cfRule type="expression" dxfId="123" priority="132">
      <formula>$C402="110"</formula>
    </cfRule>
  </conditionalFormatting>
  <conditionalFormatting sqref="Q406">
    <cfRule type="expression" dxfId="122" priority="131">
      <formula>$C406="110"</formula>
    </cfRule>
  </conditionalFormatting>
  <conditionalFormatting sqref="Q409:Q410">
    <cfRule type="expression" dxfId="121" priority="130">
      <formula>$C409="110"</formula>
    </cfRule>
  </conditionalFormatting>
  <conditionalFormatting sqref="Q413">
    <cfRule type="expression" dxfId="120" priority="129">
      <formula>$C413="110"</formula>
    </cfRule>
  </conditionalFormatting>
  <conditionalFormatting sqref="Q499">
    <cfRule type="expression" dxfId="119" priority="128">
      <formula>$C499="110"</formula>
    </cfRule>
  </conditionalFormatting>
  <conditionalFormatting sqref="Q519:Q521">
    <cfRule type="expression" dxfId="118" priority="127">
      <formula>$C519="110"</formula>
    </cfRule>
  </conditionalFormatting>
  <conditionalFormatting sqref="W613">
    <cfRule type="expression" dxfId="117" priority="126">
      <formula>$C613="110"</formula>
    </cfRule>
  </conditionalFormatting>
  <conditionalFormatting sqref="V613">
    <cfRule type="expression" dxfId="116" priority="47">
      <formula>$C613="110"</formula>
    </cfRule>
  </conditionalFormatting>
  <conditionalFormatting sqref="V749">
    <cfRule type="cellIs" dxfId="115" priority="124" operator="equal">
      <formula>"110"</formula>
    </cfRule>
  </conditionalFormatting>
  <conditionalFormatting sqref="V715 V708 V652 V641 V599 V477 V428 V749 V353">
    <cfRule type="expression" dxfId="114" priority="123">
      <formula>$C353="110"</formula>
    </cfRule>
  </conditionalFormatting>
  <conditionalFormatting sqref="V715">
    <cfRule type="cellIs" dxfId="113" priority="122" operator="equal">
      <formula>"110"</formula>
    </cfRule>
  </conditionalFormatting>
  <conditionalFormatting sqref="V357:V366 V377:V393 V470:V474 V745 V526 V523">
    <cfRule type="expression" dxfId="112" priority="125">
      <formula>$E357="110"</formula>
    </cfRule>
  </conditionalFormatting>
  <conditionalFormatting sqref="V368:V369">
    <cfRule type="expression" dxfId="111" priority="121">
      <formula>$C368="110"</formula>
    </cfRule>
  </conditionalFormatting>
  <conditionalFormatting sqref="V372">
    <cfRule type="expression" dxfId="110" priority="120">
      <formula>$E372="110"</formula>
    </cfRule>
  </conditionalFormatting>
  <conditionalFormatting sqref="V374">
    <cfRule type="expression" dxfId="109" priority="119">
      <formula>$C374="110"</formula>
    </cfRule>
  </conditionalFormatting>
  <conditionalFormatting sqref="V396:V398">
    <cfRule type="expression" dxfId="108" priority="118">
      <formula>$E396="110"</formula>
    </cfRule>
  </conditionalFormatting>
  <conditionalFormatting sqref="V400">
    <cfRule type="expression" dxfId="107" priority="117">
      <formula>$E400="110"</formula>
    </cfRule>
  </conditionalFormatting>
  <conditionalFormatting sqref="V403:V405 V411:V412 V407:V408">
    <cfRule type="expression" dxfId="106" priority="116">
      <formula>$E403="110"</formula>
    </cfRule>
  </conditionalFormatting>
  <conditionalFormatting sqref="V416:V417">
    <cfRule type="expression" dxfId="105" priority="115">
      <formula>$E416="110"</formula>
    </cfRule>
  </conditionalFormatting>
  <conditionalFormatting sqref="V420:V421">
    <cfRule type="expression" dxfId="104" priority="114">
      <formula>$E420="110"</formula>
    </cfRule>
  </conditionalFormatting>
  <conditionalFormatting sqref="V423:V425">
    <cfRule type="expression" dxfId="103" priority="113">
      <formula>$E423="110"</formula>
    </cfRule>
  </conditionalFormatting>
  <conditionalFormatting sqref="V429 V431:V434 V436:V439">
    <cfRule type="expression" dxfId="102" priority="112">
      <formula>$E429="110"</formula>
    </cfRule>
  </conditionalFormatting>
  <conditionalFormatting sqref="V441:V443">
    <cfRule type="expression" dxfId="101" priority="111">
      <formula>$E441="110"</formula>
    </cfRule>
  </conditionalFormatting>
  <conditionalFormatting sqref="V446:V452">
    <cfRule type="expression" dxfId="100" priority="110">
      <formula>$E446="110"</formula>
    </cfRule>
  </conditionalFormatting>
  <conditionalFormatting sqref="V454:V467">
    <cfRule type="expression" dxfId="99" priority="109">
      <formula>$E454="110"</formula>
    </cfRule>
  </conditionalFormatting>
  <conditionalFormatting sqref="V479:V484">
    <cfRule type="expression" dxfId="98" priority="108">
      <formula>$E479="110"</formula>
    </cfRule>
  </conditionalFormatting>
  <conditionalFormatting sqref="V486 V488:V497">
    <cfRule type="expression" dxfId="97" priority="107">
      <formula>$E486="110"</formula>
    </cfRule>
  </conditionalFormatting>
  <conditionalFormatting sqref="V502:V513 V528:V530 V515:V521">
    <cfRule type="expression" dxfId="96" priority="106">
      <formula>$E502="110"</formula>
    </cfRule>
  </conditionalFormatting>
  <conditionalFormatting sqref="V532">
    <cfRule type="expression" dxfId="95" priority="105">
      <formula>$E532="110"</formula>
    </cfRule>
  </conditionalFormatting>
  <conditionalFormatting sqref="V535:V565 V567:V569">
    <cfRule type="expression" dxfId="94" priority="104">
      <formula>$E535="110"</formula>
    </cfRule>
  </conditionalFormatting>
  <conditionalFormatting sqref="V573:V575">
    <cfRule type="expression" dxfId="93" priority="103">
      <formula>$E573="110"</formula>
    </cfRule>
  </conditionalFormatting>
  <conditionalFormatting sqref="V578:V581">
    <cfRule type="expression" dxfId="92" priority="102">
      <formula>$E578="110"</formula>
    </cfRule>
  </conditionalFormatting>
  <conditionalFormatting sqref="V584:V596">
    <cfRule type="expression" dxfId="91" priority="101">
      <formula>$E584="110"</formula>
    </cfRule>
  </conditionalFormatting>
  <conditionalFormatting sqref="V601:V611 V614 V616:V623">
    <cfRule type="expression" dxfId="90" priority="100">
      <formula>$E601="110"</formula>
    </cfRule>
  </conditionalFormatting>
  <conditionalFormatting sqref="V626:V638">
    <cfRule type="expression" dxfId="89" priority="99">
      <formula>$E626="110"</formula>
    </cfRule>
  </conditionalFormatting>
  <conditionalFormatting sqref="V643:V650">
    <cfRule type="expression" dxfId="88" priority="98">
      <formula>$E643="110"</formula>
    </cfRule>
  </conditionalFormatting>
  <conditionalFormatting sqref="V653:V663">
    <cfRule type="expression" dxfId="87" priority="97">
      <formula>$E653="110"</formula>
    </cfRule>
  </conditionalFormatting>
  <conditionalFormatting sqref="V666:V676">
    <cfRule type="expression" dxfId="86" priority="96">
      <formula>$E666="110"</formula>
    </cfRule>
  </conditionalFormatting>
  <conditionalFormatting sqref="V678:V682">
    <cfRule type="expression" dxfId="85" priority="95">
      <formula>$E678="110"</formula>
    </cfRule>
  </conditionalFormatting>
  <conditionalFormatting sqref="V685:V688">
    <cfRule type="expression" dxfId="84" priority="94">
      <formula>$E685="110"</formula>
    </cfRule>
  </conditionalFormatting>
  <conditionalFormatting sqref="V690:V696">
    <cfRule type="expression" dxfId="83" priority="93">
      <formula>$E690="110"</formula>
    </cfRule>
  </conditionalFormatting>
  <conditionalFormatting sqref="V698:V705">
    <cfRule type="expression" dxfId="82" priority="92">
      <formula>$E698="110"</formula>
    </cfRule>
  </conditionalFormatting>
  <conditionalFormatting sqref="V709:V713">
    <cfRule type="expression" dxfId="81" priority="91">
      <formula>$E709="110"</formula>
    </cfRule>
  </conditionalFormatting>
  <conditionalFormatting sqref="V717:V719 V721:V727 V729:V744">
    <cfRule type="expression" dxfId="80" priority="90">
      <formula>$E717="110"</formula>
    </cfRule>
  </conditionalFormatting>
  <conditionalFormatting sqref="V469">
    <cfRule type="expression" dxfId="79" priority="84">
      <formula>$E469="110"</formula>
    </cfRule>
  </conditionalFormatting>
  <conditionalFormatting sqref="V534">
    <cfRule type="expression" dxfId="78" priority="79">
      <formula>$E534="110"</formula>
    </cfRule>
  </conditionalFormatting>
  <conditionalFormatting sqref="V716">
    <cfRule type="expression" dxfId="77" priority="66">
      <formula>$E716="110"</formula>
    </cfRule>
  </conditionalFormatting>
  <conditionalFormatting sqref="V728">
    <cfRule type="expression" dxfId="76" priority="64">
      <formula>$E728="110"</formula>
    </cfRule>
  </conditionalFormatting>
  <conditionalFormatting sqref="V570">
    <cfRule type="expression" dxfId="75" priority="77">
      <formula>$C570="110"</formula>
    </cfRule>
  </conditionalFormatting>
  <conditionalFormatting sqref="V612">
    <cfRule type="expression" dxfId="74" priority="72">
      <formula>$C612="110"</formula>
    </cfRule>
  </conditionalFormatting>
  <conditionalFormatting sqref="V414">
    <cfRule type="expression" dxfId="73" priority="89">
      <formula>$C414="110"</formula>
    </cfRule>
  </conditionalFormatting>
  <conditionalFormatting sqref="V354">
    <cfRule type="expression" dxfId="72" priority="88">
      <formula>$E354="110"</formula>
    </cfRule>
  </conditionalFormatting>
  <conditionalFormatting sqref="V430">
    <cfRule type="expression" dxfId="71" priority="86">
      <formula>$E430="110"</formula>
    </cfRule>
  </conditionalFormatting>
  <conditionalFormatting sqref="V478">
    <cfRule type="expression" dxfId="70" priority="83">
      <formula>$E478="110"</formula>
    </cfRule>
  </conditionalFormatting>
  <conditionalFormatting sqref="V418">
    <cfRule type="expression" dxfId="69" priority="87">
      <formula>$E418="110"</formula>
    </cfRule>
  </conditionalFormatting>
  <conditionalFormatting sqref="V642">
    <cfRule type="expression" dxfId="68" priority="69">
      <formula>$E642="110"</formula>
    </cfRule>
  </conditionalFormatting>
  <conditionalFormatting sqref="V435">
    <cfRule type="expression" dxfId="67" priority="85">
      <formula>$E435="110"</formula>
    </cfRule>
  </conditionalFormatting>
  <conditionalFormatting sqref="V487">
    <cfRule type="expression" dxfId="66" priority="82">
      <formula>$E487="110"</formula>
    </cfRule>
  </conditionalFormatting>
  <conditionalFormatting sqref="V501">
    <cfRule type="expression" dxfId="65" priority="81">
      <formula>$E501="110"</formula>
    </cfRule>
  </conditionalFormatting>
  <conditionalFormatting sqref="V514">
    <cfRule type="expression" dxfId="64" priority="80">
      <formula>$E514="110"</formula>
    </cfRule>
  </conditionalFormatting>
  <conditionalFormatting sqref="V566">
    <cfRule type="expression" dxfId="63" priority="78">
      <formula>$C566="110"</formula>
    </cfRule>
  </conditionalFormatting>
  <conditionalFormatting sqref="V572">
    <cfRule type="expression" dxfId="62" priority="76">
      <formula>$E572="110"</formula>
    </cfRule>
  </conditionalFormatting>
  <conditionalFormatting sqref="V577">
    <cfRule type="expression" dxfId="61" priority="75">
      <formula>$C577="110"</formula>
    </cfRule>
  </conditionalFormatting>
  <conditionalFormatting sqref="V583">
    <cfRule type="expression" dxfId="60" priority="74">
      <formula>$E583="110"</formula>
    </cfRule>
  </conditionalFormatting>
  <conditionalFormatting sqref="V600">
    <cfRule type="expression" dxfId="59" priority="73">
      <formula>$E600="110"</formula>
    </cfRule>
  </conditionalFormatting>
  <conditionalFormatting sqref="V615">
    <cfRule type="expression" dxfId="58" priority="71">
      <formula>$E615="110"</formula>
    </cfRule>
  </conditionalFormatting>
  <conditionalFormatting sqref="V625">
    <cfRule type="expression" dxfId="57" priority="70">
      <formula>$E625="110"</formula>
    </cfRule>
  </conditionalFormatting>
  <conditionalFormatting sqref="V665">
    <cfRule type="expression" dxfId="56" priority="68">
      <formula>$E665="110"</formula>
    </cfRule>
  </conditionalFormatting>
  <conditionalFormatting sqref="V684">
    <cfRule type="expression" dxfId="55" priority="67">
      <formula>$E684="110"</formula>
    </cfRule>
  </conditionalFormatting>
  <conditionalFormatting sqref="V720">
    <cfRule type="expression" dxfId="54" priority="65">
      <formula>$E720="110"</formula>
    </cfRule>
  </conditionalFormatting>
  <conditionalFormatting sqref="V371">
    <cfRule type="expression" dxfId="53" priority="63">
      <formula>$E371="110"</formula>
    </cfRule>
  </conditionalFormatting>
  <conditionalFormatting sqref="V355">
    <cfRule type="expression" dxfId="52" priority="62">
      <formula>$E355="110"</formula>
    </cfRule>
  </conditionalFormatting>
  <conditionalFormatting sqref="V746">
    <cfRule type="expression" dxfId="51" priority="61">
      <formula>$E746="110"</formula>
    </cfRule>
  </conditionalFormatting>
  <conditionalFormatting sqref="V356">
    <cfRule type="expression" dxfId="50" priority="60">
      <formula>$E356="110"</formula>
    </cfRule>
  </conditionalFormatting>
  <conditionalFormatting sqref="V376">
    <cfRule type="expression" dxfId="49" priority="59">
      <formula>$C376="110"</formula>
    </cfRule>
  </conditionalFormatting>
  <conditionalFormatting sqref="V367">
    <cfRule type="expression" dxfId="48" priority="58">
      <formula>$C367="110"</formula>
    </cfRule>
  </conditionalFormatting>
  <conditionalFormatting sqref="V373">
    <cfRule type="expression" dxfId="47" priority="57">
      <formula>$C373="110"</formula>
    </cfRule>
  </conditionalFormatting>
  <conditionalFormatting sqref="V394">
    <cfRule type="expression" dxfId="46" priority="56">
      <formula>$C394="110"</formula>
    </cfRule>
  </conditionalFormatting>
  <conditionalFormatting sqref="V402">
    <cfRule type="expression" dxfId="45" priority="55">
      <formula>$C402="110"</formula>
    </cfRule>
  </conditionalFormatting>
  <conditionalFormatting sqref="V406">
    <cfRule type="expression" dxfId="44" priority="54">
      <formula>$C406="110"</formula>
    </cfRule>
  </conditionalFormatting>
  <conditionalFormatting sqref="V409:V410">
    <cfRule type="expression" dxfId="43" priority="53">
      <formula>$C409="110"</formula>
    </cfRule>
  </conditionalFormatting>
  <conditionalFormatting sqref="V413">
    <cfRule type="expression" dxfId="42" priority="52">
      <formula>$C413="110"</formula>
    </cfRule>
  </conditionalFormatting>
  <conditionalFormatting sqref="V445">
    <cfRule type="expression" dxfId="41" priority="51">
      <formula>$E445="110"</formula>
    </cfRule>
  </conditionalFormatting>
  <conditionalFormatting sqref="V499">
    <cfRule type="expression" dxfId="40" priority="50">
      <formula>$E499="110"</formula>
    </cfRule>
  </conditionalFormatting>
  <conditionalFormatting sqref="V524:V525">
    <cfRule type="expression" dxfId="39" priority="49">
      <formula>$E524="110"</formula>
    </cfRule>
  </conditionalFormatting>
  <conditionalFormatting sqref="V498">
    <cfRule type="expression" dxfId="38" priority="48">
      <formula>$E498="110"</formula>
    </cfRule>
  </conditionalFormatting>
  <conditionalFormatting sqref="T371:T374">
    <cfRule type="expression" dxfId="37" priority="46">
      <formula>$C371="110"</formula>
    </cfRule>
  </conditionalFormatting>
  <conditionalFormatting sqref="T376:T394">
    <cfRule type="expression" dxfId="36" priority="45">
      <formula>$C376="110"</formula>
    </cfRule>
  </conditionalFormatting>
  <conditionalFormatting sqref="T396:T398">
    <cfRule type="expression" dxfId="35" priority="44">
      <formula>$C396="110"</formula>
    </cfRule>
  </conditionalFormatting>
  <conditionalFormatting sqref="T400">
    <cfRule type="expression" dxfId="34" priority="43">
      <formula>$C400="110"</formula>
    </cfRule>
  </conditionalFormatting>
  <conditionalFormatting sqref="T402:T414">
    <cfRule type="expression" dxfId="33" priority="42">
      <formula>$C402="110"</formula>
    </cfRule>
  </conditionalFormatting>
  <conditionalFormatting sqref="T416:T418">
    <cfRule type="expression" dxfId="32" priority="41">
      <formula>$C416="110"</formula>
    </cfRule>
  </conditionalFormatting>
  <conditionalFormatting sqref="T420">
    <cfRule type="expression" dxfId="31" priority="40">
      <formula>$C420="110"</formula>
    </cfRule>
  </conditionalFormatting>
  <conditionalFormatting sqref="T421">
    <cfRule type="expression" dxfId="30" priority="39">
      <formula>$C421="110"</formula>
    </cfRule>
  </conditionalFormatting>
  <conditionalFormatting sqref="T423:T425">
    <cfRule type="expression" dxfId="29" priority="38">
      <formula>$C423="110"</formula>
    </cfRule>
  </conditionalFormatting>
  <conditionalFormatting sqref="T429:T439">
    <cfRule type="expression" dxfId="28" priority="37">
      <formula>$C429="110"</formula>
    </cfRule>
  </conditionalFormatting>
  <conditionalFormatting sqref="T441:T443">
    <cfRule type="expression" dxfId="27" priority="36">
      <formula>$C441="110"</formula>
    </cfRule>
  </conditionalFormatting>
  <conditionalFormatting sqref="T445">
    <cfRule type="expression" dxfId="26" priority="35">
      <formula>$C445="110"</formula>
    </cfRule>
  </conditionalFormatting>
  <conditionalFormatting sqref="T446:T452">
    <cfRule type="expression" dxfId="25" priority="34">
      <formula>$C446="110"</formula>
    </cfRule>
  </conditionalFormatting>
  <conditionalFormatting sqref="T454:T467">
    <cfRule type="expression" dxfId="24" priority="33">
      <formula>$C454="110"</formula>
    </cfRule>
  </conditionalFormatting>
  <conditionalFormatting sqref="T469:T474">
    <cfRule type="expression" dxfId="23" priority="32">
      <formula>$C469="110"</formula>
    </cfRule>
  </conditionalFormatting>
  <conditionalFormatting sqref="T478:T484">
    <cfRule type="expression" dxfId="22" priority="31">
      <formula>$C478="110"</formula>
    </cfRule>
  </conditionalFormatting>
  <conditionalFormatting sqref="T486:T499">
    <cfRule type="expression" dxfId="21" priority="29">
      <formula>$C486="110"</formula>
    </cfRule>
  </conditionalFormatting>
  <conditionalFormatting sqref="T501:T521">
    <cfRule type="expression" dxfId="20" priority="19">
      <formula>$C501="110"</formula>
    </cfRule>
  </conditionalFormatting>
  <conditionalFormatting sqref="T523:T526">
    <cfRule type="expression" dxfId="19" priority="18">
      <formula>$C523="110"</formula>
    </cfRule>
  </conditionalFormatting>
  <conditionalFormatting sqref="T528:T530">
    <cfRule type="expression" dxfId="18" priority="17">
      <formula>$C528="110"</formula>
    </cfRule>
  </conditionalFormatting>
  <conditionalFormatting sqref="T532">
    <cfRule type="expression" dxfId="17" priority="16">
      <formula>$C532="110"</formula>
    </cfRule>
  </conditionalFormatting>
  <conditionalFormatting sqref="T534:T570">
    <cfRule type="expression" dxfId="16" priority="15">
      <formula>$C534="110"</formula>
    </cfRule>
  </conditionalFormatting>
  <conditionalFormatting sqref="T572:T575">
    <cfRule type="expression" dxfId="15" priority="14">
      <formula>$C572="110"</formula>
    </cfRule>
  </conditionalFormatting>
  <conditionalFormatting sqref="T577:T581">
    <cfRule type="expression" dxfId="14" priority="13">
      <formula>$C577="110"</formula>
    </cfRule>
  </conditionalFormatting>
  <conditionalFormatting sqref="T583:T596">
    <cfRule type="expression" dxfId="13" priority="12">
      <formula>$C583="110"</formula>
    </cfRule>
  </conditionalFormatting>
  <conditionalFormatting sqref="T600:T623">
    <cfRule type="expression" dxfId="12" priority="11">
      <formula>$C600="110"</formula>
    </cfRule>
  </conditionalFormatting>
  <conditionalFormatting sqref="T625:T638">
    <cfRule type="expression" dxfId="11" priority="10">
      <formula>$C625="110"</formula>
    </cfRule>
  </conditionalFormatting>
  <conditionalFormatting sqref="T642:T650">
    <cfRule type="expression" dxfId="10" priority="9">
      <formula>$C642="110"</formula>
    </cfRule>
  </conditionalFormatting>
  <conditionalFormatting sqref="T653:T663">
    <cfRule type="expression" dxfId="9" priority="8">
      <formula>$C653="110"</formula>
    </cfRule>
  </conditionalFormatting>
  <conditionalFormatting sqref="T665:T676">
    <cfRule type="expression" dxfId="8" priority="7">
      <formula>$C665="110"</formula>
    </cfRule>
  </conditionalFormatting>
  <conditionalFormatting sqref="T678:T682">
    <cfRule type="expression" dxfId="7" priority="6">
      <formula>$C678="110"</formula>
    </cfRule>
  </conditionalFormatting>
  <conditionalFormatting sqref="T684:T688">
    <cfRule type="expression" dxfId="6" priority="5">
      <formula>$C684="110"</formula>
    </cfRule>
  </conditionalFormatting>
  <conditionalFormatting sqref="T690:T696">
    <cfRule type="expression" dxfId="5" priority="4">
      <formula>$C690="110"</formula>
    </cfRule>
  </conditionalFormatting>
  <conditionalFormatting sqref="T698:T705">
    <cfRule type="expression" dxfId="4" priority="3">
      <formula>$C698="110"</formula>
    </cfRule>
  </conditionalFormatting>
  <conditionalFormatting sqref="T709:T713">
    <cfRule type="expression" dxfId="3" priority="2">
      <formula>$C709="110"</formula>
    </cfRule>
  </conditionalFormatting>
  <conditionalFormatting sqref="T716:T746">
    <cfRule type="expression" dxfId="2" priority="1">
      <formula>$C716="110"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56" id="{618F1A31-E48B-4D5F-A28A-83344EA35BA3}">
            <xm:f>L$398&lt;&gt;'\Users\Admin\Downloads\[תקציב 2018 מאושר למליאה.xlsx]ריכוז'!#REF!</xm:f>
            <x14:dxf>
              <fill>
                <patternFill>
                  <bgColor rgb="FFFF0000"/>
                </patternFill>
              </fill>
            </x14:dxf>
          </x14:cfRule>
          <xm:sqref>L749:U749</xm:sqref>
        </x14:conditionalFormatting>
        <x14:conditionalFormatting xmlns:xm="http://schemas.microsoft.com/office/excel/2006/main">
          <x14:cfRule type="expression" priority="963" id="{661F4C43-9678-4209-B7B8-A5D7A80173D3}">
            <xm:f>P$398&lt;&gt;'\Users\Admin\Downloads\[תקציב 2018 מאושר למליאה.xlsx]ריכוז'!#REF!</xm:f>
            <x14:dxf>
              <fill>
                <patternFill>
                  <bgColor rgb="FFFF0000"/>
                </patternFill>
              </fill>
            </x14:dxf>
          </x14:cfRule>
          <xm:sqref>P749:U749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8</vt:i4>
      </vt:variant>
    </vt:vector>
  </HeadingPairs>
  <TitlesOfParts>
    <vt:vector size="13" baseType="lpstr">
      <vt:lpstr>תשלומים 2017</vt:lpstr>
      <vt:lpstr>תקבולים 2017</vt:lpstr>
      <vt:lpstr>תשלומים</vt:lpstr>
      <vt:lpstr>תקבולים</vt:lpstr>
      <vt:lpstr>פירוט תקציב 2017 ו 2018</vt:lpstr>
      <vt:lpstr>תקבולים!WPrint_Area_W</vt:lpstr>
      <vt:lpstr>'תקבולים 2017'!WPrint_Area_W</vt:lpstr>
      <vt:lpstr>תשלומים!WPrint_Area_W</vt:lpstr>
      <vt:lpstr>'תשלומים 2017'!WPrint_Area_W</vt:lpstr>
      <vt:lpstr>תקבולים!WPrint_TitlesW</vt:lpstr>
      <vt:lpstr>'תקבולים 2017'!WPrint_TitlesW</vt:lpstr>
      <vt:lpstr>תשלומים!WPrint_TitlesW</vt:lpstr>
      <vt:lpstr>'תשלומים 2017'!WPrint_TitlesW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‏‏משתמש Windows</dc:creator>
  <cp:lastModifiedBy>Admin</cp:lastModifiedBy>
  <dcterms:created xsi:type="dcterms:W3CDTF">2018-04-22T15:15:51Z</dcterms:created>
  <dcterms:modified xsi:type="dcterms:W3CDTF">2018-04-23T07:34:50Z</dcterms:modified>
</cp:coreProperties>
</file>