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miriamn\AppData\Local\Microsoft\Windows\INetCache\Content.Outlook\55GCAS9P\"/>
    </mc:Choice>
  </mc:AlternateContent>
  <xr:revisionPtr revIDLastSave="0" documentId="13_ncr:1_{FBA7F120-F706-4871-AABC-4C357B41EFC1}" xr6:coauthVersionLast="47" xr6:coauthVersionMax="47" xr10:uidLastSave="{00000000-0000-0000-0000-000000000000}"/>
  <bookViews>
    <workbookView xWindow="-120" yWindow="-120" windowWidth="29040" windowHeight="15840" tabRatio="984" firstSheet="12" activeTab="17" xr2:uid="{00000000-000D-0000-FFFF-FFFF00000000}"/>
  </bookViews>
  <sheets>
    <sheet name="תוכן עניינים" sheetId="50" r:id="rId1"/>
    <sheet name="ביטול תקציב" sheetId="61" state="hidden" r:id="rId2"/>
    <sheet name="הכנסות 1" sheetId="2" r:id="rId3"/>
    <sheet name="גיליון1" sheetId="54" state="hidden" r:id="rId4"/>
    <sheet name="הוצאות 2" sheetId="4" r:id="rId5"/>
    <sheet name="הכנסות חינוך 3" sheetId="6" r:id="rId6"/>
    <sheet name="הכנסות תרבות 4" sheetId="7" r:id="rId7"/>
    <sheet name="הכנסות רווחה 5" sheetId="40" r:id="rId8"/>
    <sheet name="הוצאות שכר 6" sheetId="63" r:id="rId9"/>
    <sheet name="שכד ביטוחים עיתונים ומשלחות 7  " sheetId="12" r:id="rId10"/>
    <sheet name=" הוצאות רווחה  8" sheetId="24" r:id="rId11"/>
    <sheet name="קליקה 9" sheetId="55" r:id="rId12"/>
    <sheet name="ציוד משרדי וכיבוד 10" sheetId="13" r:id="rId13"/>
    <sheet name="חשמל ומים 11" sheetId="11" r:id="rId14"/>
    <sheet name="דלק ורכבים 12" sheetId="14" r:id="rId15"/>
    <sheet name="תיקונים ורישוי 13" sheetId="15" r:id="rId16"/>
    <sheet name="ליסינג 14" sheetId="16" r:id="rId17"/>
    <sheet name="תקשורת פרסום ומחשוב 15" sheetId="17" r:id="rId18"/>
    <sheet name="ריבית ועמלות ופרעון 16" sheetId="19" r:id="rId19"/>
    <sheet name="עבודות קבלניות 17" sheetId="20" r:id="rId20"/>
    <sheet name=" 18 הג&quot;א" sheetId="58" r:id="rId21"/>
    <sheet name="19-780" sheetId="21" r:id="rId22"/>
    <sheet name="20-782" sheetId="22" r:id="rId23"/>
    <sheet name="תמיכות 21" sheetId="49" r:id="rId24"/>
    <sheet name="ביצוע 2020" sheetId="53" state="hidden" r:id="rId25"/>
    <sheet name="שכר 2021" sheetId="52" state="hidden" r:id="rId26"/>
  </sheets>
  <definedNames>
    <definedName name="_xlnm._FilterDatabase" localSheetId="10" hidden="1">' הוצאות רווחה  8'!$D$4:$E$115</definedName>
    <definedName name="_xlnm._FilterDatabase" localSheetId="21" hidden="1">'19-780'!$A$4:$E$98</definedName>
    <definedName name="_xlnm._FilterDatabase" localSheetId="22" hidden="1">'20-782'!$C$4:$H$97</definedName>
    <definedName name="_xlnm._FilterDatabase" localSheetId="1" hidden="1">'ביטול תקציב'!$A$1:$J$10</definedName>
    <definedName name="_xlnm._FilterDatabase" localSheetId="8" hidden="1">'הוצאות שכר 6'!$C$4:$D$4</definedName>
    <definedName name="_xlnm._FilterDatabase" localSheetId="2" hidden="1">'הכנסות 1'!$A$4:$C$84</definedName>
    <definedName name="_xlnm._FilterDatabase" localSheetId="5" hidden="1">'הכנסות חינוך 3'!$A$1:$D$50</definedName>
    <definedName name="_xlnm._FilterDatabase" localSheetId="7" hidden="1">'הכנסות רווחה 5'!$D$3:$E$117</definedName>
    <definedName name="_xlnm._FilterDatabase" localSheetId="19" hidden="1">'עבודות קבלניות 17'!$A$4:$E$27</definedName>
    <definedName name="_xlnm._FilterDatabase" localSheetId="23" hidden="1">'תמיכות 21'!#REF!</definedName>
    <definedName name="_xlnm.Print_Area" localSheetId="10">' הוצאות רווחה  8'!$A$1:$H$111</definedName>
    <definedName name="_xlnm.Print_Area" localSheetId="21">'19-780'!$A$1:$H$98</definedName>
    <definedName name="_xlnm.Print_Area" localSheetId="22">'20-782'!$C$2:$J$97</definedName>
    <definedName name="_xlnm.Print_Area" localSheetId="4">'הוצאות 2'!$A$2:$I$45</definedName>
    <definedName name="_xlnm.Print_Area" localSheetId="8">'הוצאות שכר 6'!#REF!</definedName>
    <definedName name="_xlnm.Print_Area" localSheetId="2">'הכנסות 1'!$A$1:$H$90</definedName>
    <definedName name="_xlnm.Print_Area" localSheetId="5">'הכנסות חינוך 3'!$A$1:$H$67</definedName>
    <definedName name="_xlnm.Print_Area" localSheetId="7">'הכנסות רווחה 5'!$A$1:$H$130</definedName>
    <definedName name="_xlnm.Print_Area" localSheetId="6">'הכנסות תרבות 4'!$A$1:$H$27</definedName>
    <definedName name="_xlnm.Print_Area" localSheetId="13">'חשמל ומים 11'!$A$1:$F$35</definedName>
    <definedName name="_xlnm.Print_Area" localSheetId="16">'ליסינג 14'!$B$1:$G$21</definedName>
    <definedName name="_xlnm.Print_Area" localSheetId="19">'עבודות קבלניות 17'!$A$2:$H$85</definedName>
    <definedName name="_xlnm.Print_Area" localSheetId="12">'ציוד משרדי וכיבוד 10'!$A$1:$H$58</definedName>
    <definedName name="_xlnm.Print_Area" localSheetId="11">'קליקה 9'!$A$1:$H$14</definedName>
    <definedName name="_xlnm.Print_Area" localSheetId="18">'ריבית ועמלות ופרעון 16'!$C$1:$J$23</definedName>
    <definedName name="_xlnm.Print_Area" localSheetId="9">'שכד ביטוחים עיתונים ומשלחות 7  '!$A$1:$H$30</definedName>
    <definedName name="_xlnm.Print_Area" localSheetId="0">'תוכן עניינים'!$A$1:$C$32</definedName>
    <definedName name="_xlnm.Print_Area" localSheetId="15">'תיקונים ורישוי 13'!$C$1:$H$51</definedName>
    <definedName name="_xlnm.Print_Area" localSheetId="23">'תמיכות 21'!$A$2:$H$50</definedName>
    <definedName name="_xlnm.Print_Area" localSheetId="17">'תקשורת פרסום ומחשוב 15'!$C$1:$J$25</definedName>
    <definedName name="_xlnm.Print_Titles" localSheetId="10">' הוצאות רווחה  8'!$4:$4</definedName>
    <definedName name="_xlnm.Print_Titles" localSheetId="21">'19-780'!$4:$4</definedName>
    <definedName name="_xlnm.Print_Titles" localSheetId="22">'20-782'!$4:$4</definedName>
    <definedName name="_xlnm.Print_Titles" localSheetId="4">'הוצאות 2'!$4:$4</definedName>
    <definedName name="_xlnm.Print_Titles" localSheetId="8">'הוצאות שכר 6'!$4:$4</definedName>
    <definedName name="_xlnm.Print_Titles" localSheetId="2">'הכנסות 1'!$4:$4</definedName>
    <definedName name="_xlnm.Print_Titles" localSheetId="7">'הכנסות רווחה 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0" l="1"/>
  <c r="H10" i="55"/>
  <c r="G49" i="63" l="1"/>
  <c r="G13" i="63"/>
  <c r="H10" i="21"/>
  <c r="H62" i="21" l="1"/>
  <c r="H9" i="21"/>
  <c r="H17" i="2"/>
  <c r="H7" i="21"/>
  <c r="J21" i="19" l="1"/>
  <c r="G41" i="63" l="1"/>
  <c r="G50" i="63"/>
  <c r="G51" i="63" s="1"/>
  <c r="G78" i="63"/>
  <c r="G84" i="63"/>
  <c r="G115" i="63"/>
  <c r="G5" i="16"/>
  <c r="H19" i="7" l="1"/>
  <c r="H21" i="7" s="1"/>
  <c r="H59" i="2" s="1"/>
  <c r="H20" i="7"/>
  <c r="H15" i="7"/>
  <c r="H6" i="7"/>
  <c r="H7" i="7"/>
  <c r="H5" i="7"/>
  <c r="G125" i="63"/>
  <c r="G126" i="63"/>
  <c r="G127" i="63"/>
  <c r="G128" i="63"/>
  <c r="G124" i="63"/>
  <c r="G129" i="63" s="1"/>
  <c r="H79" i="2"/>
  <c r="H80" i="2"/>
  <c r="H81" i="2"/>
  <c r="H82" i="2"/>
  <c r="H83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64" i="2"/>
  <c r="H53" i="2"/>
  <c r="H52" i="2"/>
  <c r="H51" i="2"/>
  <c r="H50" i="2"/>
  <c r="H44" i="2"/>
  <c r="H45" i="2"/>
  <c r="H46" i="2"/>
  <c r="H47" i="2"/>
  <c r="H48" i="2"/>
  <c r="H43" i="2"/>
  <c r="H32" i="2"/>
  <c r="H33" i="2"/>
  <c r="H34" i="2"/>
  <c r="H35" i="2"/>
  <c r="H36" i="2"/>
  <c r="H37" i="2"/>
  <c r="H38" i="2"/>
  <c r="H39" i="2"/>
  <c r="H41" i="2"/>
  <c r="H30" i="2"/>
  <c r="H27" i="2"/>
  <c r="H24" i="2"/>
  <c r="H22" i="2"/>
  <c r="J6" i="19"/>
  <c r="J7" i="19"/>
  <c r="G30" i="14"/>
  <c r="G31" i="14"/>
  <c r="G32" i="14"/>
  <c r="G33" i="14"/>
  <c r="G29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5" i="14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H50" i="15"/>
  <c r="H46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33" i="15"/>
  <c r="H25" i="15"/>
  <c r="H26" i="15"/>
  <c r="H27" i="15"/>
  <c r="H15" i="15"/>
  <c r="H16" i="15"/>
  <c r="H17" i="15"/>
  <c r="H18" i="15"/>
  <c r="H19" i="15"/>
  <c r="H20" i="15"/>
  <c r="H21" i="15"/>
  <c r="H22" i="15"/>
  <c r="H23" i="15"/>
  <c r="H24" i="15"/>
  <c r="H14" i="15"/>
  <c r="H6" i="15"/>
  <c r="H7" i="15"/>
  <c r="H8" i="15"/>
  <c r="H9" i="15"/>
  <c r="H10" i="15"/>
  <c r="H11" i="15"/>
  <c r="H12" i="15"/>
  <c r="H5" i="15"/>
  <c r="H38" i="4"/>
  <c r="H6" i="2"/>
  <c r="H7" i="2"/>
  <c r="H8" i="2"/>
  <c r="H9" i="2"/>
  <c r="H10" i="2"/>
  <c r="H11" i="2"/>
  <c r="H13" i="2"/>
  <c r="H14" i="2"/>
  <c r="H15" i="2"/>
  <c r="H16" i="2"/>
  <c r="H18" i="2"/>
  <c r="H19" i="2"/>
  <c r="H20" i="2"/>
  <c r="F84" i="20"/>
  <c r="F85" i="20" s="1"/>
  <c r="H77" i="20"/>
  <c r="H78" i="20" s="1"/>
  <c r="H43" i="4" s="1"/>
  <c r="F77" i="20"/>
  <c r="F78" i="20" s="1"/>
  <c r="H71" i="20"/>
  <c r="H42" i="4" s="1"/>
  <c r="H70" i="20"/>
  <c r="H41" i="4" s="1"/>
  <c r="F71" i="20"/>
  <c r="F70" i="20"/>
  <c r="F72" i="20" s="1"/>
  <c r="H85" i="20"/>
  <c r="H44" i="4" s="1"/>
  <c r="G85" i="20"/>
  <c r="E85" i="20"/>
  <c r="D85" i="20"/>
  <c r="G78" i="20"/>
  <c r="E78" i="20"/>
  <c r="D78" i="20"/>
  <c r="B78" i="20"/>
  <c r="B85" i="20" s="1"/>
  <c r="G72" i="20"/>
  <c r="E72" i="20"/>
  <c r="D72" i="20"/>
  <c r="H53" i="6"/>
  <c r="H54" i="6" s="1"/>
  <c r="H57" i="2" s="1"/>
  <c r="H63" i="2"/>
  <c r="H62" i="2"/>
  <c r="H27" i="7"/>
  <c r="H26" i="7"/>
  <c r="H61" i="2"/>
  <c r="H40" i="4"/>
  <c r="H35" i="4"/>
  <c r="F15" i="11"/>
  <c r="F16" i="11"/>
  <c r="F17" i="11"/>
  <c r="F18" i="11"/>
  <c r="F19" i="11"/>
  <c r="F20" i="11"/>
  <c r="F21" i="11"/>
  <c r="F14" i="11"/>
  <c r="F6" i="11"/>
  <c r="F7" i="11"/>
  <c r="F8" i="11"/>
  <c r="F9" i="11"/>
  <c r="F10" i="11"/>
  <c r="F11" i="11"/>
  <c r="F12" i="11"/>
  <c r="F25" i="11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20" i="13"/>
  <c r="H21" i="13"/>
  <c r="H22" i="13"/>
  <c r="H23" i="13"/>
  <c r="H24" i="13"/>
  <c r="H25" i="13"/>
  <c r="H26" i="13"/>
  <c r="H28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5" i="13"/>
  <c r="H37" i="4"/>
  <c r="J23" i="17"/>
  <c r="J21" i="17"/>
  <c r="J14" i="17"/>
  <c r="J5" i="17"/>
  <c r="H56" i="13"/>
  <c r="H55" i="13"/>
  <c r="H48" i="13"/>
  <c r="H49" i="13"/>
  <c r="H50" i="13"/>
  <c r="H51" i="13"/>
  <c r="H52" i="13"/>
  <c r="H53" i="13"/>
  <c r="H47" i="13"/>
  <c r="H41" i="6"/>
  <c r="H42" i="6"/>
  <c r="H43" i="6"/>
  <c r="H44" i="6"/>
  <c r="H46" i="6"/>
  <c r="H48" i="6"/>
  <c r="H49" i="6"/>
  <c r="H29" i="6"/>
  <c r="H30" i="6"/>
  <c r="H31" i="6"/>
  <c r="H32" i="6"/>
  <c r="H33" i="6"/>
  <c r="H34" i="6"/>
  <c r="H35" i="6"/>
  <c r="H37" i="6"/>
  <c r="H38" i="6"/>
  <c r="H39" i="6"/>
  <c r="H40" i="6"/>
  <c r="H23" i="6"/>
  <c r="H24" i="6"/>
  <c r="H25" i="6"/>
  <c r="H26" i="6"/>
  <c r="H27" i="6"/>
  <c r="H19" i="6"/>
  <c r="H15" i="6"/>
  <c r="H14" i="6"/>
  <c r="H12" i="6"/>
  <c r="H11" i="6"/>
  <c r="H9" i="6"/>
  <c r="H6" i="6"/>
  <c r="H7" i="6"/>
  <c r="H5" i="6"/>
  <c r="H64" i="6"/>
  <c r="H65" i="6"/>
  <c r="H63" i="6"/>
  <c r="H60" i="6"/>
  <c r="H61" i="6"/>
  <c r="H59" i="6"/>
  <c r="H130" i="40"/>
  <c r="H123" i="40"/>
  <c r="H124" i="40"/>
  <c r="H125" i="40"/>
  <c r="H126" i="40"/>
  <c r="H127" i="40"/>
  <c r="H128" i="40"/>
  <c r="H129" i="40"/>
  <c r="H122" i="40"/>
  <c r="H117" i="40"/>
  <c r="H113" i="40"/>
  <c r="H114" i="40"/>
  <c r="H115" i="40"/>
  <c r="H116" i="40"/>
  <c r="H112" i="40"/>
  <c r="H108" i="40"/>
  <c r="H109" i="40"/>
  <c r="H107" i="40"/>
  <c r="H95" i="40"/>
  <c r="H96" i="40"/>
  <c r="H97" i="40"/>
  <c r="H98" i="40"/>
  <c r="H99" i="40"/>
  <c r="H100" i="40"/>
  <c r="H101" i="40"/>
  <c r="H102" i="40"/>
  <c r="H103" i="40"/>
  <c r="H104" i="40"/>
  <c r="H94" i="40"/>
  <c r="H91" i="40"/>
  <c r="H92" i="40"/>
  <c r="H90" i="40"/>
  <c r="H85" i="40"/>
  <c r="H86" i="40"/>
  <c r="H87" i="40"/>
  <c r="H88" i="40"/>
  <c r="H84" i="40"/>
  <c r="H78" i="40"/>
  <c r="H79" i="40"/>
  <c r="H80" i="40"/>
  <c r="H81" i="40"/>
  <c r="H82" i="40"/>
  <c r="H77" i="40"/>
  <c r="H70" i="40"/>
  <c r="H71" i="40"/>
  <c r="H72" i="40"/>
  <c r="H73" i="40"/>
  <c r="H74" i="40"/>
  <c r="H75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48" i="40"/>
  <c r="H46" i="40"/>
  <c r="H45" i="40"/>
  <c r="H40" i="40"/>
  <c r="H41" i="40"/>
  <c r="H42" i="40"/>
  <c r="H39" i="40"/>
  <c r="H37" i="40"/>
  <c r="H36" i="40"/>
  <c r="H31" i="40"/>
  <c r="H32" i="40"/>
  <c r="H33" i="40"/>
  <c r="H34" i="40"/>
  <c r="H24" i="40"/>
  <c r="H25" i="40"/>
  <c r="H26" i="40"/>
  <c r="H27" i="40"/>
  <c r="H28" i="40"/>
  <c r="H29" i="40"/>
  <c r="H30" i="40"/>
  <c r="H23" i="40"/>
  <c r="H21" i="40"/>
  <c r="H12" i="40"/>
  <c r="H13" i="40"/>
  <c r="H14" i="40"/>
  <c r="H15" i="40"/>
  <c r="H16" i="40"/>
  <c r="H17" i="40"/>
  <c r="H18" i="40"/>
  <c r="H19" i="40"/>
  <c r="H11" i="40"/>
  <c r="H9" i="40"/>
  <c r="H8" i="40"/>
  <c r="H5" i="40"/>
  <c r="H4" i="40"/>
  <c r="H11" i="55"/>
  <c r="H12" i="55"/>
  <c r="H13" i="55"/>
  <c r="H9" i="55"/>
  <c r="H6" i="55"/>
  <c r="H7" i="55"/>
  <c r="H5" i="55"/>
  <c r="H14" i="55" s="1"/>
  <c r="E136" i="63"/>
  <c r="H4" i="12"/>
  <c r="H13" i="12"/>
  <c r="H14" i="12"/>
  <c r="H12" i="12"/>
  <c r="H21" i="12"/>
  <c r="H28" i="12"/>
  <c r="H29" i="12"/>
  <c r="H27" i="12"/>
  <c r="H111" i="24"/>
  <c r="H106" i="24"/>
  <c r="H107" i="24"/>
  <c r="H108" i="24"/>
  <c r="H109" i="24"/>
  <c r="H110" i="24"/>
  <c r="H105" i="24"/>
  <c r="H98" i="24"/>
  <c r="H99" i="24"/>
  <c r="H100" i="24"/>
  <c r="H101" i="24"/>
  <c r="H94" i="24"/>
  <c r="H95" i="24"/>
  <c r="H96" i="24"/>
  <c r="H97" i="24"/>
  <c r="H93" i="24"/>
  <c r="H87" i="24"/>
  <c r="H88" i="24"/>
  <c r="H89" i="24"/>
  <c r="H90" i="24"/>
  <c r="H91" i="24"/>
  <c r="H86" i="24"/>
  <c r="H82" i="24"/>
  <c r="H83" i="24"/>
  <c r="H84" i="24"/>
  <c r="H81" i="24"/>
  <c r="H78" i="24"/>
  <c r="H79" i="24"/>
  <c r="H74" i="24"/>
  <c r="H75" i="24"/>
  <c r="H76" i="24"/>
  <c r="H77" i="24"/>
  <c r="H73" i="24"/>
  <c r="H65" i="24"/>
  <c r="H66" i="24"/>
  <c r="H67" i="24"/>
  <c r="H68" i="24"/>
  <c r="H69" i="24"/>
  <c r="H70" i="24"/>
  <c r="H71" i="24"/>
  <c r="H55" i="24"/>
  <c r="H56" i="24"/>
  <c r="H57" i="24"/>
  <c r="H58" i="24"/>
  <c r="H59" i="24"/>
  <c r="H60" i="24"/>
  <c r="H61" i="24"/>
  <c r="H62" i="24"/>
  <c r="H63" i="24"/>
  <c r="H64" i="24"/>
  <c r="H50" i="24"/>
  <c r="H51" i="24"/>
  <c r="H52" i="24"/>
  <c r="H53" i="24"/>
  <c r="H54" i="24"/>
  <c r="H49" i="24"/>
  <c r="H47" i="24"/>
  <c r="H46" i="24"/>
  <c r="H45" i="24"/>
  <c r="H43" i="24"/>
  <c r="H42" i="24"/>
  <c r="H41" i="24"/>
  <c r="H40" i="24"/>
  <c r="H38" i="24"/>
  <c r="H37" i="24"/>
  <c r="H34" i="24"/>
  <c r="H33" i="24"/>
  <c r="H22" i="24"/>
  <c r="H23" i="24"/>
  <c r="H24" i="24"/>
  <c r="H25" i="24"/>
  <c r="H26" i="24"/>
  <c r="H27" i="24"/>
  <c r="H28" i="24"/>
  <c r="H29" i="24"/>
  <c r="H30" i="24"/>
  <c r="H31" i="24"/>
  <c r="H21" i="24"/>
  <c r="H18" i="24"/>
  <c r="H19" i="24"/>
  <c r="H17" i="24"/>
  <c r="H16" i="24"/>
  <c r="H14" i="24"/>
  <c r="H12" i="24"/>
  <c r="H13" i="24"/>
  <c r="H11" i="24"/>
  <c r="H8" i="24"/>
  <c r="H6" i="24"/>
  <c r="H50" i="20"/>
  <c r="H43" i="20"/>
  <c r="H44" i="20"/>
  <c r="H39" i="20"/>
  <c r="H33" i="20"/>
  <c r="H29" i="4" s="1"/>
  <c r="H25" i="20"/>
  <c r="H26" i="20"/>
  <c r="H24" i="20"/>
  <c r="H15" i="20"/>
  <c r="H17" i="20"/>
  <c r="H19" i="20"/>
  <c r="H22" i="20"/>
  <c r="H13" i="20"/>
  <c r="H8" i="20"/>
  <c r="H9" i="20"/>
  <c r="H10" i="20"/>
  <c r="H5" i="20"/>
  <c r="H34" i="58"/>
  <c r="H33" i="58"/>
  <c r="H32" i="58"/>
  <c r="H27" i="58"/>
  <c r="H23" i="58"/>
  <c r="H24" i="58"/>
  <c r="H25" i="58"/>
  <c r="H26" i="58"/>
  <c r="H22" i="58"/>
  <c r="H17" i="58"/>
  <c r="H15" i="58"/>
  <c r="H14" i="58"/>
  <c r="H7" i="58"/>
  <c r="H8" i="58"/>
  <c r="H9" i="58"/>
  <c r="H10" i="58"/>
  <c r="H11" i="58"/>
  <c r="H12" i="58"/>
  <c r="H6" i="58"/>
  <c r="H87" i="21"/>
  <c r="H89" i="21"/>
  <c r="H90" i="21"/>
  <c r="H91" i="21"/>
  <c r="H92" i="21"/>
  <c r="H94" i="21"/>
  <c r="H74" i="21"/>
  <c r="H75" i="21"/>
  <c r="H76" i="21"/>
  <c r="H81" i="21"/>
  <c r="H82" i="21"/>
  <c r="H83" i="21"/>
  <c r="H85" i="21"/>
  <c r="H86" i="21"/>
  <c r="H71" i="21"/>
  <c r="H70" i="21"/>
  <c r="H66" i="21"/>
  <c r="H68" i="21"/>
  <c r="H58" i="21"/>
  <c r="H59" i="21"/>
  <c r="H60" i="21"/>
  <c r="H57" i="21"/>
  <c r="H55" i="21"/>
  <c r="H53" i="21"/>
  <c r="H51" i="21"/>
  <c r="H43" i="21"/>
  <c r="H44" i="21"/>
  <c r="H45" i="21"/>
  <c r="H46" i="21"/>
  <c r="H47" i="21"/>
  <c r="H48" i="21"/>
  <c r="H49" i="21"/>
  <c r="H39" i="21"/>
  <c r="H40" i="21"/>
  <c r="H41" i="21"/>
  <c r="H42" i="21"/>
  <c r="H36" i="21"/>
  <c r="H27" i="21"/>
  <c r="H30" i="21"/>
  <c r="H33" i="21"/>
  <c r="H26" i="21"/>
  <c r="H20" i="21"/>
  <c r="H11" i="21"/>
  <c r="H15" i="21"/>
  <c r="H5" i="21"/>
  <c r="J94" i="22"/>
  <c r="J96" i="22"/>
  <c r="J87" i="22"/>
  <c r="J88" i="22"/>
  <c r="J89" i="22"/>
  <c r="J90" i="22"/>
  <c r="J91" i="22"/>
  <c r="J92" i="22"/>
  <c r="J93" i="22"/>
  <c r="J76" i="22"/>
  <c r="J78" i="22"/>
  <c r="J79" i="22"/>
  <c r="J80" i="22"/>
  <c r="J81" i="22"/>
  <c r="J83" i="22"/>
  <c r="J85" i="22"/>
  <c r="J75" i="22"/>
  <c r="J73" i="22"/>
  <c r="J70" i="22"/>
  <c r="J68" i="22"/>
  <c r="J67" i="22"/>
  <c r="J65" i="22"/>
  <c r="J63" i="22"/>
  <c r="J62" i="22"/>
  <c r="J53" i="22"/>
  <c r="J54" i="22"/>
  <c r="J56" i="22"/>
  <c r="J57" i="22"/>
  <c r="J58" i="22"/>
  <c r="J59" i="22"/>
  <c r="J60" i="22"/>
  <c r="J48" i="22"/>
  <c r="J51" i="22"/>
  <c r="J52" i="22"/>
  <c r="J44" i="22"/>
  <c r="J45" i="22"/>
  <c r="J43" i="22"/>
  <c r="J30" i="22"/>
  <c r="J32" i="22"/>
  <c r="J33" i="22"/>
  <c r="J34" i="22"/>
  <c r="J39" i="22"/>
  <c r="J23" i="22"/>
  <c r="J24" i="22"/>
  <c r="J25" i="22"/>
  <c r="J26" i="22"/>
  <c r="J27" i="22"/>
  <c r="J28" i="22"/>
  <c r="J29" i="22"/>
  <c r="J14" i="22"/>
  <c r="J17" i="22"/>
  <c r="J19" i="22"/>
  <c r="J12" i="22"/>
  <c r="J6" i="22"/>
  <c r="J5" i="22"/>
  <c r="H46" i="49"/>
  <c r="H47" i="49"/>
  <c r="H48" i="49"/>
  <c r="H49" i="49"/>
  <c r="H45" i="49"/>
  <c r="H38" i="49"/>
  <c r="H39" i="49"/>
  <c r="H40" i="49"/>
  <c r="H41" i="49"/>
  <c r="H42" i="49"/>
  <c r="H43" i="49"/>
  <c r="H28" i="49"/>
  <c r="H30" i="49"/>
  <c r="H31" i="49"/>
  <c r="H32" i="49"/>
  <c r="H33" i="49"/>
  <c r="H34" i="49"/>
  <c r="H35" i="49"/>
  <c r="H36" i="49"/>
  <c r="H37" i="49"/>
  <c r="H27" i="49"/>
  <c r="H25" i="49"/>
  <c r="H24" i="49"/>
  <c r="H12" i="49"/>
  <c r="H13" i="49"/>
  <c r="H14" i="49"/>
  <c r="H15" i="49"/>
  <c r="H18" i="49"/>
  <c r="H11" i="49"/>
  <c r="H7" i="49"/>
  <c r="H5" i="49"/>
  <c r="G61" i="2"/>
  <c r="E60" i="2"/>
  <c r="G60" i="2"/>
  <c r="G59" i="2"/>
  <c r="G58" i="2"/>
  <c r="G63" i="2"/>
  <c r="G62" i="2"/>
  <c r="H72" i="20" l="1"/>
  <c r="H50" i="49"/>
  <c r="H34" i="4" s="1"/>
  <c r="H6" i="4"/>
  <c r="H67" i="6"/>
  <c r="H56" i="2" s="1"/>
  <c r="H50" i="6"/>
  <c r="H55" i="2" s="1"/>
  <c r="H9" i="7"/>
  <c r="H58" i="2" s="1"/>
  <c r="F26" i="11" l="1"/>
  <c r="F35" i="11"/>
  <c r="H27" i="4" s="1"/>
  <c r="H64" i="20"/>
  <c r="H36" i="4" s="1"/>
  <c r="H58" i="20"/>
  <c r="H26" i="4" s="1"/>
  <c r="H51" i="20"/>
  <c r="H33" i="4" s="1"/>
  <c r="J8" i="19"/>
  <c r="H24" i="4" s="1"/>
  <c r="J25" i="17"/>
  <c r="H23" i="4" s="1"/>
  <c r="J15" i="17"/>
  <c r="H22" i="4" s="1"/>
  <c r="J6" i="17"/>
  <c r="H21" i="4" s="1"/>
  <c r="G21" i="16"/>
  <c r="H20" i="4" s="1"/>
  <c r="H19" i="4"/>
  <c r="G24" i="14"/>
  <c r="H17" i="4" s="1"/>
  <c r="G34" i="14"/>
  <c r="H16" i="4" s="1"/>
  <c r="H57" i="13"/>
  <c r="H13" i="4" s="1"/>
  <c r="H42" i="13"/>
  <c r="H12" i="4" s="1"/>
  <c r="H11" i="4"/>
  <c r="H22" i="12"/>
  <c r="H14" i="4" s="1"/>
  <c r="H5" i="12"/>
  <c r="H7" i="4" s="1"/>
  <c r="H15" i="12"/>
  <c r="F22" i="11"/>
  <c r="H28" i="15"/>
  <c r="H18" i="4" s="1"/>
  <c r="H51" i="15"/>
  <c r="H9" i="4" s="1"/>
  <c r="H8" i="4"/>
  <c r="H25" i="4" l="1"/>
  <c r="F28" i="11"/>
  <c r="H10" i="4" s="1"/>
  <c r="H13" i="15"/>
  <c r="G40" i="4"/>
  <c r="G35" i="4"/>
  <c r="G50" i="49"/>
  <c r="G34" i="4" s="1"/>
  <c r="G22" i="4" l="1"/>
  <c r="I6" i="17"/>
  <c r="G21" i="4" s="1"/>
  <c r="G12" i="4"/>
  <c r="G8" i="4"/>
  <c r="F17" i="58"/>
  <c r="G17" i="58"/>
  <c r="G15" i="58"/>
  <c r="F5" i="58"/>
  <c r="F13" i="58"/>
  <c r="F16" i="58"/>
  <c r="F138" i="63"/>
  <c r="F134" i="63"/>
  <c r="E35" i="4"/>
  <c r="F9" i="4"/>
  <c r="F10" i="4"/>
  <c r="F18" i="4"/>
  <c r="F19" i="4"/>
  <c r="F20" i="4"/>
  <c r="F21" i="4"/>
  <c r="F22" i="4"/>
  <c r="F23" i="4"/>
  <c r="F29" i="4"/>
  <c r="F38" i="4"/>
  <c r="F41" i="4"/>
  <c r="F42" i="4"/>
  <c r="F43" i="4"/>
  <c r="F44" i="4"/>
  <c r="D35" i="4"/>
  <c r="D27" i="4"/>
  <c r="D23" i="4"/>
  <c r="D22" i="4"/>
  <c r="D21" i="4"/>
  <c r="D20" i="4"/>
  <c r="D19" i="4"/>
  <c r="D18" i="4"/>
  <c r="D10" i="4"/>
  <c r="D8" i="4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" i="49"/>
  <c r="I97" i="22"/>
  <c r="G32" i="4" s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6" i="22"/>
  <c r="H39" i="22"/>
  <c r="H40" i="22"/>
  <c r="H41" i="22"/>
  <c r="H42" i="22"/>
  <c r="H43" i="22"/>
  <c r="H44" i="22"/>
  <c r="H45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5" i="22"/>
  <c r="G98" i="21"/>
  <c r="G30" i="4" s="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6" i="21"/>
  <c r="F27" i="21"/>
  <c r="F28" i="21"/>
  <c r="F29" i="21"/>
  <c r="F30" i="21"/>
  <c r="F31" i="21"/>
  <c r="F32" i="21"/>
  <c r="F33" i="21"/>
  <c r="F34" i="21"/>
  <c r="F35" i="21"/>
  <c r="F36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5" i="21"/>
  <c r="G64" i="20"/>
  <c r="G36" i="4" s="1"/>
  <c r="G58" i="20"/>
  <c r="G26" i="4" s="1"/>
  <c r="F64" i="20"/>
  <c r="F57" i="20"/>
  <c r="F56" i="20"/>
  <c r="G51" i="20"/>
  <c r="G33" i="4" s="1"/>
  <c r="F50" i="20"/>
  <c r="F51" i="20" s="1"/>
  <c r="G45" i="20"/>
  <c r="G31" i="4" s="1"/>
  <c r="F39" i="20"/>
  <c r="F40" i="20"/>
  <c r="F43" i="20"/>
  <c r="F44" i="20"/>
  <c r="F38" i="20"/>
  <c r="G33" i="20"/>
  <c r="F32" i="20"/>
  <c r="F33" i="20" s="1"/>
  <c r="G27" i="20"/>
  <c r="G28" i="4" s="1"/>
  <c r="F7" i="20"/>
  <c r="F8" i="20"/>
  <c r="F9" i="20"/>
  <c r="F10" i="20"/>
  <c r="F11" i="20"/>
  <c r="F12" i="20"/>
  <c r="F13" i="20"/>
  <c r="F15" i="20"/>
  <c r="F16" i="20"/>
  <c r="F17" i="20"/>
  <c r="F18" i="20"/>
  <c r="F19" i="20"/>
  <c r="F21" i="20"/>
  <c r="F22" i="20"/>
  <c r="F23" i="20"/>
  <c r="F24" i="20"/>
  <c r="F25" i="20"/>
  <c r="F26" i="20"/>
  <c r="F5" i="20"/>
  <c r="I21" i="19"/>
  <c r="G25" i="4" s="1"/>
  <c r="H15" i="19"/>
  <c r="H16" i="19"/>
  <c r="H17" i="19"/>
  <c r="H18" i="19"/>
  <c r="H19" i="19"/>
  <c r="H20" i="19"/>
  <c r="H14" i="19"/>
  <c r="I8" i="19"/>
  <c r="G24" i="4" s="1"/>
  <c r="H6" i="19"/>
  <c r="H7" i="19"/>
  <c r="H5" i="19"/>
  <c r="I25" i="17"/>
  <c r="G23" i="4" s="1"/>
  <c r="J24" i="17"/>
  <c r="H22" i="17"/>
  <c r="H23" i="17"/>
  <c r="H21" i="17"/>
  <c r="I15" i="17"/>
  <c r="H12" i="17"/>
  <c r="H13" i="17"/>
  <c r="H14" i="17"/>
  <c r="H11" i="17"/>
  <c r="H6" i="17"/>
  <c r="H5" i="17"/>
  <c r="G57" i="13"/>
  <c r="G13" i="4" s="1"/>
  <c r="F48" i="13"/>
  <c r="F49" i="13"/>
  <c r="F50" i="13"/>
  <c r="F51" i="13"/>
  <c r="F52" i="13"/>
  <c r="F53" i="13"/>
  <c r="F54" i="13"/>
  <c r="F55" i="13"/>
  <c r="F56" i="13"/>
  <c r="G42" i="13"/>
  <c r="F47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5" i="13"/>
  <c r="F42" i="13" s="1"/>
  <c r="G14" i="55"/>
  <c r="F8" i="55"/>
  <c r="F6" i="55"/>
  <c r="F7" i="55"/>
  <c r="F9" i="55"/>
  <c r="F11" i="55"/>
  <c r="F12" i="55"/>
  <c r="F13" i="55"/>
  <c r="F5" i="55"/>
  <c r="G111" i="24"/>
  <c r="G37" i="4" s="1"/>
  <c r="F6" i="24"/>
  <c r="F7" i="24"/>
  <c r="F8" i="24"/>
  <c r="F10" i="24"/>
  <c r="F11" i="24"/>
  <c r="F12" i="24"/>
  <c r="F13" i="24"/>
  <c r="F14" i="24"/>
  <c r="F111" i="24" s="1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5" i="24"/>
  <c r="G30" i="12"/>
  <c r="G15" i="4" s="1"/>
  <c r="F28" i="12"/>
  <c r="F29" i="12"/>
  <c r="F27" i="12"/>
  <c r="G22" i="12"/>
  <c r="G14" i="4" s="1"/>
  <c r="F21" i="12"/>
  <c r="F22" i="12" s="1"/>
  <c r="G15" i="12"/>
  <c r="F13" i="12"/>
  <c r="F15" i="12" s="1"/>
  <c r="F14" i="12"/>
  <c r="F12" i="12"/>
  <c r="G5" i="12"/>
  <c r="G7" i="4" s="1"/>
  <c r="F5" i="12"/>
  <c r="F4" i="12"/>
  <c r="C138" i="63"/>
  <c r="C134" i="63"/>
  <c r="F129" i="63"/>
  <c r="G6" i="4" s="1"/>
  <c r="F122" i="63"/>
  <c r="F120" i="63"/>
  <c r="F118" i="63"/>
  <c r="F50" i="49" l="1"/>
  <c r="H15" i="17"/>
  <c r="F14" i="55"/>
  <c r="F114" i="63" l="1"/>
  <c r="F112" i="63"/>
  <c r="F110" i="63"/>
  <c r="F107" i="63"/>
  <c r="F105" i="63"/>
  <c r="F99" i="63"/>
  <c r="F54" i="63"/>
  <c r="F51" i="63"/>
  <c r="F48" i="63"/>
  <c r="F45" i="63"/>
  <c r="F43" i="63"/>
  <c r="F37" i="63"/>
  <c r="F34" i="63"/>
  <c r="F29" i="63"/>
  <c r="F20" i="63"/>
  <c r="F14" i="63"/>
  <c r="F6" i="63"/>
  <c r="E13" i="63"/>
  <c r="E41" i="63"/>
  <c r="E49" i="63"/>
  <c r="E50" i="63"/>
  <c r="E78" i="63"/>
  <c r="E84" i="63"/>
  <c r="E115" i="63"/>
  <c r="E124" i="63"/>
  <c r="E125" i="63"/>
  <c r="E126" i="63"/>
  <c r="E127" i="63"/>
  <c r="E128" i="63"/>
  <c r="G130" i="40"/>
  <c r="F130" i="40"/>
  <c r="F123" i="40"/>
  <c r="F124" i="40"/>
  <c r="F125" i="40"/>
  <c r="F126" i="40"/>
  <c r="F127" i="40"/>
  <c r="F128" i="40"/>
  <c r="F129" i="40"/>
  <c r="F122" i="40"/>
  <c r="F117" i="40"/>
  <c r="G117" i="40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F104" i="40"/>
  <c r="F105" i="40"/>
  <c r="F106" i="40"/>
  <c r="F107" i="40"/>
  <c r="F108" i="40"/>
  <c r="F109" i="40"/>
  <c r="F110" i="40"/>
  <c r="F111" i="40"/>
  <c r="F112" i="40"/>
  <c r="F113" i="40"/>
  <c r="F114" i="40"/>
  <c r="F115" i="40"/>
  <c r="F116" i="40"/>
  <c r="F4" i="40"/>
  <c r="G34" i="58"/>
  <c r="G27" i="58"/>
  <c r="F33" i="58"/>
  <c r="F32" i="58"/>
  <c r="F34" i="58" s="1"/>
  <c r="F23" i="58"/>
  <c r="F24" i="58"/>
  <c r="F25" i="58"/>
  <c r="F26" i="58"/>
  <c r="F22" i="58"/>
  <c r="F6" i="58"/>
  <c r="F14" i="58"/>
  <c r="E10" i="58"/>
  <c r="F10" i="58" s="1"/>
  <c r="E12" i="58"/>
  <c r="F12" i="58" s="1"/>
  <c r="E11" i="58"/>
  <c r="F11" i="58" s="1"/>
  <c r="E9" i="58"/>
  <c r="F9" i="58" s="1"/>
  <c r="E8" i="58"/>
  <c r="F8" i="58" s="1"/>
  <c r="E7" i="58"/>
  <c r="F7" i="58" s="1"/>
  <c r="E6" i="58"/>
  <c r="G27" i="7"/>
  <c r="G21" i="7"/>
  <c r="G9" i="7"/>
  <c r="F26" i="7"/>
  <c r="F27" i="7" s="1"/>
  <c r="F15" i="7"/>
  <c r="F16" i="7"/>
  <c r="F17" i="7"/>
  <c r="F18" i="7"/>
  <c r="F19" i="7"/>
  <c r="F20" i="7"/>
  <c r="F14" i="7"/>
  <c r="F21" i="7" s="1"/>
  <c r="F6" i="7"/>
  <c r="F7" i="7"/>
  <c r="F8" i="7"/>
  <c r="F5" i="7"/>
  <c r="G54" i="6"/>
  <c r="G57" i="2" s="1"/>
  <c r="G50" i="6"/>
  <c r="G55" i="2" s="1"/>
  <c r="G67" i="6"/>
  <c r="G56" i="2" s="1"/>
  <c r="F60" i="6"/>
  <c r="F61" i="6"/>
  <c r="F62" i="6"/>
  <c r="F63" i="6"/>
  <c r="F64" i="6"/>
  <c r="F65" i="6"/>
  <c r="F66" i="6"/>
  <c r="F59" i="6"/>
  <c r="F53" i="6"/>
  <c r="F54" i="6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31" i="6"/>
  <c r="F49" i="6"/>
  <c r="F5" i="6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2" i="2"/>
  <c r="F30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F8" i="2"/>
  <c r="F7" i="2"/>
  <c r="F6" i="2"/>
  <c r="F123" i="63" l="1"/>
  <c r="F130" i="63" s="1"/>
  <c r="G84" i="2"/>
  <c r="F9" i="7"/>
  <c r="F50" i="6"/>
  <c r="F67" i="6"/>
  <c r="F133" i="63" l="1"/>
  <c r="F139" i="63" s="1"/>
  <c r="G5" i="4" s="1"/>
  <c r="G45" i="4" s="1"/>
  <c r="E25" i="2"/>
  <c r="D25" i="2"/>
  <c r="F25" i="2" l="1"/>
  <c r="H25" i="2"/>
  <c r="D27" i="2"/>
  <c r="D5" i="2" l="1"/>
  <c r="E5" i="2" s="1"/>
  <c r="H5" i="2" s="1"/>
  <c r="F5" i="2" l="1"/>
  <c r="D32" i="2"/>
  <c r="D28" i="49" l="1"/>
  <c r="D48" i="49"/>
  <c r="D14" i="49"/>
  <c r="G38" i="22" l="1"/>
  <c r="F38" i="22"/>
  <c r="G37" i="22"/>
  <c r="J37" i="22" s="1"/>
  <c r="F37" i="22"/>
  <c r="D12" i="20"/>
  <c r="H12" i="20" s="1"/>
  <c r="D43" i="49"/>
  <c r="D34" i="49"/>
  <c r="D35" i="49"/>
  <c r="D41" i="49"/>
  <c r="D32" i="49"/>
  <c r="D33" i="49"/>
  <c r="D42" i="49"/>
  <c r="D31" i="49"/>
  <c r="D40" i="49"/>
  <c r="D39" i="49"/>
  <c r="D38" i="49"/>
  <c r="D37" i="49"/>
  <c r="D36" i="49"/>
  <c r="J38" i="22" l="1"/>
  <c r="H38" i="22"/>
  <c r="H37" i="22"/>
  <c r="D38" i="21"/>
  <c r="D29" i="13"/>
  <c r="D72" i="21"/>
  <c r="D69" i="21"/>
  <c r="F33" i="22"/>
  <c r="F34" i="22"/>
  <c r="D96" i="21"/>
  <c r="D78" i="21"/>
  <c r="D77" i="21"/>
  <c r="D60" i="21"/>
  <c r="D26" i="20"/>
  <c r="D84" i="21"/>
  <c r="F92" i="22"/>
  <c r="D13" i="24"/>
  <c r="F91" i="22"/>
  <c r="F31" i="22"/>
  <c r="D82" i="21"/>
  <c r="F16" i="22"/>
  <c r="D8" i="13"/>
  <c r="E27" i="7"/>
  <c r="D27" i="7"/>
  <c r="D89" i="21"/>
  <c r="H97" i="22" l="1"/>
  <c r="J97" i="22"/>
  <c r="H32" i="4" s="1"/>
  <c r="E40" i="2"/>
  <c r="D40" i="2"/>
  <c r="D65" i="6"/>
  <c r="D121" i="63"/>
  <c r="E121" i="63" s="1"/>
  <c r="D119" i="63"/>
  <c r="D117" i="63"/>
  <c r="D116" i="63"/>
  <c r="D113" i="63"/>
  <c r="G113" i="63" s="1"/>
  <c r="G114" i="63" s="1"/>
  <c r="D111" i="63"/>
  <c r="D109" i="63"/>
  <c r="D108" i="63"/>
  <c r="D106" i="63"/>
  <c r="D101" i="63"/>
  <c r="D102" i="63"/>
  <c r="D103" i="63"/>
  <c r="D104" i="63"/>
  <c r="D100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85" i="63"/>
  <c r="D80" i="63"/>
  <c r="D81" i="63"/>
  <c r="D82" i="63"/>
  <c r="D83" i="63"/>
  <c r="D79" i="63"/>
  <c r="D56" i="63"/>
  <c r="G56" i="63" s="1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55" i="63"/>
  <c r="G55" i="63" s="1"/>
  <c r="D53" i="63"/>
  <c r="D52" i="63"/>
  <c r="D47" i="63"/>
  <c r="D46" i="63"/>
  <c r="D44" i="63"/>
  <c r="D42" i="63"/>
  <c r="D39" i="63"/>
  <c r="D40" i="63"/>
  <c r="D38" i="63"/>
  <c r="D36" i="63"/>
  <c r="G36" i="63" s="1"/>
  <c r="D35" i="63"/>
  <c r="G35" i="63" s="1"/>
  <c r="D31" i="63"/>
  <c r="G31" i="63" s="1"/>
  <c r="D32" i="63"/>
  <c r="D33" i="63"/>
  <c r="D30" i="63"/>
  <c r="D22" i="63"/>
  <c r="D23" i="63"/>
  <c r="D24" i="63"/>
  <c r="D25" i="63"/>
  <c r="D26" i="63"/>
  <c r="D27" i="63"/>
  <c r="D28" i="63"/>
  <c r="D21" i="63"/>
  <c r="D16" i="63"/>
  <c r="D17" i="63"/>
  <c r="D18" i="63"/>
  <c r="D19" i="63"/>
  <c r="D15" i="63"/>
  <c r="E89" i="63" l="1"/>
  <c r="G89" i="63"/>
  <c r="E87" i="63"/>
  <c r="G87" i="63"/>
  <c r="E116" i="63"/>
  <c r="G116" i="63"/>
  <c r="G118" i="63" s="1"/>
  <c r="E109" i="63"/>
  <c r="G109" i="63"/>
  <c r="E88" i="63"/>
  <c r="G88" i="63"/>
  <c r="E61" i="63"/>
  <c r="G61" i="63"/>
  <c r="E86" i="63"/>
  <c r="G86" i="63"/>
  <c r="E117" i="63"/>
  <c r="G117" i="63"/>
  <c r="E77" i="63"/>
  <c r="G77" i="63"/>
  <c r="E63" i="63"/>
  <c r="G63" i="63"/>
  <c r="E119" i="63"/>
  <c r="G119" i="63"/>
  <c r="G120" i="63" s="1"/>
  <c r="E65" i="63"/>
  <c r="G65" i="63"/>
  <c r="E36" i="63"/>
  <c r="E80" i="63"/>
  <c r="G80" i="63"/>
  <c r="E25" i="63"/>
  <c r="G25" i="63"/>
  <c r="E98" i="63"/>
  <c r="G98" i="63"/>
  <c r="E44" i="63"/>
  <c r="G44" i="63"/>
  <c r="G45" i="63" s="1"/>
  <c r="E59" i="63"/>
  <c r="G59" i="63"/>
  <c r="E96" i="63"/>
  <c r="G96" i="63"/>
  <c r="E104" i="63"/>
  <c r="G104" i="63"/>
  <c r="E81" i="63"/>
  <c r="G81" i="63"/>
  <c r="E85" i="63"/>
  <c r="G85" i="63"/>
  <c r="E24" i="63"/>
  <c r="G24" i="63"/>
  <c r="E70" i="63"/>
  <c r="G70" i="63"/>
  <c r="E103" i="63"/>
  <c r="G103" i="63"/>
  <c r="E35" i="63"/>
  <c r="G37" i="63"/>
  <c r="E64" i="63"/>
  <c r="G64" i="63"/>
  <c r="E27" i="63"/>
  <c r="G27" i="63"/>
  <c r="E40" i="63"/>
  <c r="G40" i="63"/>
  <c r="E73" i="63"/>
  <c r="G73" i="63"/>
  <c r="E42" i="63"/>
  <c r="G42" i="63"/>
  <c r="E71" i="63"/>
  <c r="G71" i="63"/>
  <c r="E47" i="63"/>
  <c r="G47" i="63"/>
  <c r="E69" i="63"/>
  <c r="G69" i="63"/>
  <c r="E57" i="63"/>
  <c r="G57" i="63"/>
  <c r="E94" i="63"/>
  <c r="G94" i="63"/>
  <c r="E102" i="63"/>
  <c r="G102" i="63"/>
  <c r="E90" i="63"/>
  <c r="G90" i="63"/>
  <c r="E28" i="63"/>
  <c r="G28" i="63"/>
  <c r="E38" i="63"/>
  <c r="E26" i="63"/>
  <c r="G26" i="63"/>
  <c r="E39" i="63"/>
  <c r="G39" i="63"/>
  <c r="E72" i="63"/>
  <c r="G72" i="63"/>
  <c r="E100" i="63"/>
  <c r="G100" i="63"/>
  <c r="E95" i="63"/>
  <c r="G95" i="63"/>
  <c r="E33" i="63"/>
  <c r="G33" i="63"/>
  <c r="E52" i="63"/>
  <c r="G52" i="63"/>
  <c r="E68" i="63"/>
  <c r="G68" i="63"/>
  <c r="E56" i="63"/>
  <c r="E93" i="63"/>
  <c r="G93" i="63"/>
  <c r="E101" i="63"/>
  <c r="G101" i="63"/>
  <c r="E82" i="63"/>
  <c r="G82" i="63"/>
  <c r="E76" i="63"/>
  <c r="G76" i="63"/>
  <c r="E75" i="63"/>
  <c r="G75" i="63"/>
  <c r="E74" i="63"/>
  <c r="G74" i="63"/>
  <c r="E60" i="63"/>
  <c r="G60" i="63"/>
  <c r="E23" i="63"/>
  <c r="G23" i="63"/>
  <c r="E22" i="63"/>
  <c r="G22" i="63"/>
  <c r="E46" i="63"/>
  <c r="G46" i="63"/>
  <c r="G48" i="63" s="1"/>
  <c r="E30" i="63"/>
  <c r="G30" i="63"/>
  <c r="E32" i="63"/>
  <c r="G32" i="63"/>
  <c r="E53" i="63"/>
  <c r="G53" i="63"/>
  <c r="E67" i="63"/>
  <c r="G67" i="63"/>
  <c r="E79" i="63"/>
  <c r="G79" i="63"/>
  <c r="E92" i="63"/>
  <c r="G92" i="63"/>
  <c r="E106" i="63"/>
  <c r="G106" i="63"/>
  <c r="G107" i="63" s="1"/>
  <c r="E21" i="63"/>
  <c r="G21" i="63"/>
  <c r="E111" i="63"/>
  <c r="G111" i="63"/>
  <c r="G112" i="63" s="1"/>
  <c r="E62" i="63"/>
  <c r="G62" i="63"/>
  <c r="E97" i="63"/>
  <c r="G97" i="63"/>
  <c r="E15" i="63"/>
  <c r="G15" i="63"/>
  <c r="E58" i="63"/>
  <c r="G58" i="63"/>
  <c r="E19" i="63"/>
  <c r="G19" i="63"/>
  <c r="E18" i="63"/>
  <c r="G18" i="63"/>
  <c r="E17" i="63"/>
  <c r="G17" i="63"/>
  <c r="E16" i="63"/>
  <c r="G16" i="63"/>
  <c r="E55" i="63"/>
  <c r="E66" i="63"/>
  <c r="G66" i="63"/>
  <c r="E83" i="63"/>
  <c r="G83" i="63"/>
  <c r="E91" i="63"/>
  <c r="G91" i="63"/>
  <c r="E108" i="63"/>
  <c r="G108" i="63"/>
  <c r="F40" i="2"/>
  <c r="H40" i="2"/>
  <c r="D138" i="63"/>
  <c r="E113" i="63"/>
  <c r="E138" i="63" s="1"/>
  <c r="D134" i="63"/>
  <c r="G134" i="63" s="1"/>
  <c r="E31" i="63"/>
  <c r="D29" i="63"/>
  <c r="E29" i="63" s="1"/>
  <c r="G34" i="63" l="1"/>
  <c r="G54" i="63"/>
  <c r="G20" i="63"/>
  <c r="E134" i="63"/>
  <c r="G110" i="63"/>
  <c r="G43" i="63"/>
  <c r="G29" i="63"/>
  <c r="G99" i="63"/>
  <c r="G105" i="63"/>
  <c r="E67" i="21"/>
  <c r="E50" i="6"/>
  <c r="E55" i="2" s="1"/>
  <c r="F55" i="2" s="1"/>
  <c r="D50" i="6"/>
  <c r="D55" i="2" s="1"/>
  <c r="F67" i="21" l="1"/>
  <c r="F98" i="21" s="1"/>
  <c r="H67" i="21"/>
  <c r="H98" i="21" s="1"/>
  <c r="H30" i="4" s="1"/>
  <c r="E64" i="20"/>
  <c r="E36" i="4" s="1"/>
  <c r="F36" i="4" s="1"/>
  <c r="B64" i="20"/>
  <c r="E58" i="20"/>
  <c r="F58" i="20" s="1"/>
  <c r="D58" i="20"/>
  <c r="D26" i="4" s="1"/>
  <c r="E6" i="20"/>
  <c r="D6" i="20"/>
  <c r="H6" i="20" l="1"/>
  <c r="H27" i="20" s="1"/>
  <c r="H28" i="4" s="1"/>
  <c r="F6" i="20"/>
  <c r="F27" i="20" s="1"/>
  <c r="D71" i="2"/>
  <c r="D12" i="63" l="1"/>
  <c r="D11" i="63"/>
  <c r="D10" i="63"/>
  <c r="D9" i="63"/>
  <c r="D8" i="63"/>
  <c r="D7" i="63"/>
  <c r="D5" i="63"/>
  <c r="E7" i="63" l="1"/>
  <c r="G7" i="63"/>
  <c r="E11" i="63"/>
  <c r="G11" i="63"/>
  <c r="E5" i="63"/>
  <c r="G5" i="63"/>
  <c r="G6" i="63" s="1"/>
  <c r="E8" i="63"/>
  <c r="G8" i="63"/>
  <c r="E9" i="63"/>
  <c r="G9" i="63"/>
  <c r="E10" i="63"/>
  <c r="G10" i="63"/>
  <c r="E12" i="63"/>
  <c r="G12" i="63"/>
  <c r="D129" i="63"/>
  <c r="C129" i="63"/>
  <c r="D6" i="4" s="1"/>
  <c r="B127" i="63"/>
  <c r="D122" i="63"/>
  <c r="E122" i="63" s="1"/>
  <c r="C122" i="63"/>
  <c r="D120" i="63"/>
  <c r="C120" i="63"/>
  <c r="D118" i="63"/>
  <c r="E118" i="63" s="1"/>
  <c r="C118" i="63"/>
  <c r="D114" i="63"/>
  <c r="E114" i="63" s="1"/>
  <c r="C114" i="63"/>
  <c r="D112" i="63"/>
  <c r="E112" i="63" s="1"/>
  <c r="C112" i="63"/>
  <c r="D110" i="63"/>
  <c r="E110" i="63" s="1"/>
  <c r="C110" i="63"/>
  <c r="D107" i="63"/>
  <c r="E107" i="63" s="1"/>
  <c r="C107" i="63"/>
  <c r="D105" i="63"/>
  <c r="E105" i="63" s="1"/>
  <c r="C105" i="63"/>
  <c r="D99" i="63"/>
  <c r="E99" i="63" s="1"/>
  <c r="C99" i="63"/>
  <c r="D54" i="63"/>
  <c r="E54" i="63" s="1"/>
  <c r="C54" i="63"/>
  <c r="D51" i="63"/>
  <c r="E51" i="63" s="1"/>
  <c r="C51" i="63"/>
  <c r="D48" i="63"/>
  <c r="E48" i="63" s="1"/>
  <c r="C48" i="63"/>
  <c r="D45" i="63"/>
  <c r="E45" i="63" s="1"/>
  <c r="C45" i="63"/>
  <c r="D43" i="63"/>
  <c r="E43" i="63" s="1"/>
  <c r="C43" i="63"/>
  <c r="D37" i="63"/>
  <c r="E37" i="63" s="1"/>
  <c r="C37" i="63"/>
  <c r="D34" i="63"/>
  <c r="E34" i="63" s="1"/>
  <c r="C34" i="63"/>
  <c r="C29" i="63"/>
  <c r="D20" i="63"/>
  <c r="E20" i="63" s="1"/>
  <c r="C20" i="63"/>
  <c r="D14" i="63"/>
  <c r="E14" i="63" s="1"/>
  <c r="C14" i="63"/>
  <c r="D6" i="63"/>
  <c r="E6" i="63" s="1"/>
  <c r="C6" i="63"/>
  <c r="G21" i="19"/>
  <c r="H21" i="19" s="1"/>
  <c r="F21" i="19"/>
  <c r="D25" i="4" s="1"/>
  <c r="G14" i="63" l="1"/>
  <c r="G123" i="63" s="1"/>
  <c r="G130" i="63" s="1"/>
  <c r="G133" i="63" s="1"/>
  <c r="G139" i="63" s="1"/>
  <c r="H5" i="4" s="1"/>
  <c r="C123" i="63"/>
  <c r="D123" i="63"/>
  <c r="E123" i="63" s="1"/>
  <c r="E120" i="63"/>
  <c r="E6" i="4"/>
  <c r="F6" i="4" s="1"/>
  <c r="E129" i="63"/>
  <c r="E39" i="61"/>
  <c r="E38" i="61"/>
  <c r="E37" i="61"/>
  <c r="E36" i="61"/>
  <c r="E35" i="61"/>
  <c r="E34" i="61"/>
  <c r="E33" i="61"/>
  <c r="D32" i="61"/>
  <c r="E32" i="61" s="1"/>
  <c r="D31" i="61"/>
  <c r="E31" i="61" s="1"/>
  <c r="D30" i="61"/>
  <c r="E30" i="61" s="1"/>
  <c r="D29" i="61"/>
  <c r="E29" i="61" s="1"/>
  <c r="D28" i="61"/>
  <c r="E28" i="61" s="1"/>
  <c r="D27" i="61"/>
  <c r="E27" i="61" s="1"/>
  <c r="D26" i="61"/>
  <c r="E26" i="61" s="1"/>
  <c r="E25" i="61"/>
  <c r="E24" i="61"/>
  <c r="E23" i="61"/>
  <c r="E22" i="61"/>
  <c r="E21" i="61"/>
  <c r="E20" i="61"/>
  <c r="E19" i="61"/>
  <c r="E18" i="61"/>
  <c r="E17" i="61"/>
  <c r="D34" i="11"/>
  <c r="E34" i="11" s="1"/>
  <c r="J16" i="61"/>
  <c r="F6" i="61"/>
  <c r="D130" i="63" l="1"/>
  <c r="E130" i="63" s="1"/>
  <c r="C130" i="63"/>
  <c r="C133" i="63" s="1"/>
  <c r="C139" i="63" s="1"/>
  <c r="D5" i="4" s="1"/>
  <c r="E35" i="11"/>
  <c r="D35" i="11"/>
  <c r="D63" i="20"/>
  <c r="D64" i="20" s="1"/>
  <c r="D36" i="4" s="1"/>
  <c r="D38" i="4"/>
  <c r="D8" i="2"/>
  <c r="D45" i="2"/>
  <c r="D133" i="63" l="1"/>
  <c r="D139" i="63" s="1"/>
  <c r="E5" i="4" s="1"/>
  <c r="F5" i="4" s="1"/>
  <c r="E133" i="63"/>
  <c r="E139" i="63" s="1"/>
  <c r="E21" i="16"/>
  <c r="F10" i="16" l="1"/>
  <c r="F21" i="16" s="1"/>
  <c r="G28" i="15"/>
  <c r="F28" i="15"/>
  <c r="G46" i="15"/>
  <c r="F46" i="15"/>
  <c r="B54" i="6"/>
  <c r="D54" i="6"/>
  <c r="E54" i="6"/>
  <c r="E98" i="21"/>
  <c r="D43" i="2"/>
  <c r="D79" i="21"/>
  <c r="E67" i="6"/>
  <c r="E42" i="20" l="1"/>
  <c r="D42" i="20"/>
  <c r="E41" i="20"/>
  <c r="D41" i="20"/>
  <c r="D45" i="20" s="1"/>
  <c r="D31" i="4" s="1"/>
  <c r="H41" i="20" l="1"/>
  <c r="F41" i="20"/>
  <c r="F42" i="20"/>
  <c r="F34" i="14"/>
  <c r="H45" i="20" l="1"/>
  <c r="H31" i="4" s="1"/>
  <c r="E24" i="14"/>
  <c r="D17" i="4" s="1"/>
  <c r="F24" i="14"/>
  <c r="F51" i="15" l="1"/>
  <c r="D9" i="4" s="1"/>
  <c r="G51" i="15"/>
  <c r="E9" i="4" s="1"/>
  <c r="D34" i="58"/>
  <c r="D40" i="4" s="1"/>
  <c r="E34" i="58"/>
  <c r="E40" i="4" s="1"/>
  <c r="F40" i="4" s="1"/>
  <c r="F35" i="4"/>
  <c r="E51" i="20"/>
  <c r="E33" i="4" s="1"/>
  <c r="F33" i="4" s="1"/>
  <c r="D51" i="20"/>
  <c r="D33" i="4" s="1"/>
  <c r="E45" i="20"/>
  <c r="E30" i="4"/>
  <c r="F30" i="4" s="1"/>
  <c r="E27" i="20"/>
  <c r="E28" i="4" s="1"/>
  <c r="F28" i="4" s="1"/>
  <c r="E33" i="20"/>
  <c r="E27" i="4"/>
  <c r="F27" i="4" s="1"/>
  <c r="E26" i="4"/>
  <c r="F26" i="4" s="1"/>
  <c r="E25" i="4"/>
  <c r="F25" i="4" s="1"/>
  <c r="F8" i="19"/>
  <c r="D24" i="4" s="1"/>
  <c r="E20" i="4"/>
  <c r="E19" i="4"/>
  <c r="E18" i="4"/>
  <c r="E17" i="4"/>
  <c r="F17" i="4" s="1"/>
  <c r="E16" i="4"/>
  <c r="F16" i="4" s="1"/>
  <c r="E12" i="2"/>
  <c r="F12" i="2" l="1"/>
  <c r="H12" i="2"/>
  <c r="E31" i="4"/>
  <c r="F31" i="4" s="1"/>
  <c r="F45" i="20"/>
  <c r="E61" i="2"/>
  <c r="F61" i="2" s="1"/>
  <c r="D61" i="2"/>
  <c r="F60" i="2"/>
  <c r="E57" i="2"/>
  <c r="F57" i="2" s="1"/>
  <c r="D57" i="2"/>
  <c r="E56" i="2"/>
  <c r="F56" i="2" s="1"/>
  <c r="E50" i="49"/>
  <c r="E34" i="4" s="1"/>
  <c r="F34" i="4" s="1"/>
  <c r="F25" i="17"/>
  <c r="F15" i="17"/>
  <c r="F6" i="17"/>
  <c r="E14" i="55"/>
  <c r="D14" i="55"/>
  <c r="E21" i="7"/>
  <c r="E59" i="2" s="1"/>
  <c r="F59" i="2" s="1"/>
  <c r="D21" i="7"/>
  <c r="D59" i="2" s="1"/>
  <c r="E9" i="7"/>
  <c r="E58" i="2" s="1"/>
  <c r="F58" i="2" s="1"/>
  <c r="D27" i="58"/>
  <c r="D6" i="7"/>
  <c r="D9" i="7" s="1"/>
  <c r="D58" i="2" s="1"/>
  <c r="E31" i="2" l="1"/>
  <c r="F31" i="2" l="1"/>
  <c r="H31" i="2"/>
  <c r="H84" i="2" s="1"/>
  <c r="G88" i="2" s="1"/>
  <c r="G97" i="22"/>
  <c r="E32" i="4" s="1"/>
  <c r="F32" i="4" s="1"/>
  <c r="E27" i="58"/>
  <c r="E15" i="58"/>
  <c r="E130" i="40"/>
  <c r="E63" i="2" s="1"/>
  <c r="F63" i="2" s="1"/>
  <c r="E117" i="40"/>
  <c r="E62" i="2" s="1"/>
  <c r="F62" i="2" s="1"/>
  <c r="F84" i="2" s="1"/>
  <c r="D26" i="11"/>
  <c r="E26" i="11"/>
  <c r="D22" i="11"/>
  <c r="E22" i="11"/>
  <c r="E17" i="58" l="1"/>
  <c r="F15" i="58"/>
  <c r="E8" i="4"/>
  <c r="F8" i="4" s="1"/>
  <c r="F27" i="58"/>
  <c r="E84" i="2"/>
  <c r="F88" i="2" s="1"/>
  <c r="D28" i="11"/>
  <c r="E28" i="11"/>
  <c r="E10" i="4" s="1"/>
  <c r="G8" i="19" l="1"/>
  <c r="G25" i="17"/>
  <c r="G15" i="17"/>
  <c r="E22" i="4" s="1"/>
  <c r="G6" i="17"/>
  <c r="E21" i="4" s="1"/>
  <c r="E42" i="13"/>
  <c r="E12" i="4" s="1"/>
  <c r="F12" i="4" s="1"/>
  <c r="E57" i="13"/>
  <c r="E30" i="12"/>
  <c r="E22" i="12"/>
  <c r="E14" i="4" s="1"/>
  <c r="F14" i="4" s="1"/>
  <c r="E15" i="12"/>
  <c r="E11" i="4" s="1"/>
  <c r="F11" i="4" s="1"/>
  <c r="E5" i="12"/>
  <c r="E7" i="4" s="1"/>
  <c r="F7" i="4" s="1"/>
  <c r="E15" i="4" l="1"/>
  <c r="F15" i="4" s="1"/>
  <c r="H30" i="12"/>
  <c r="H15" i="4" s="1"/>
  <c r="F30" i="12"/>
  <c r="H39" i="4"/>
  <c r="H45" i="4" s="1"/>
  <c r="G89" i="2" s="1"/>
  <c r="F39" i="4"/>
  <c r="E24" i="4"/>
  <c r="F24" i="4" s="1"/>
  <c r="H8" i="19"/>
  <c r="E13" i="4"/>
  <c r="F13" i="4" s="1"/>
  <c r="F57" i="13"/>
  <c r="E23" i="4"/>
  <c r="H25" i="17"/>
  <c r="F97" i="22"/>
  <c r="D32" i="4" s="1"/>
  <c r="D98" i="21"/>
  <c r="D30" i="4" s="1"/>
  <c r="D15" i="58"/>
  <c r="D17" i="58" s="1"/>
  <c r="D33" i="20"/>
  <c r="D29" i="4" s="1"/>
  <c r="D27" i="20"/>
  <c r="D28" i="4" s="1"/>
  <c r="E34" i="14"/>
  <c r="D16" i="4" s="1"/>
  <c r="D130" i="40"/>
  <c r="D63" i="2" s="1"/>
  <c r="D117" i="40"/>
  <c r="D62" i="2" s="1"/>
  <c r="D67" i="6"/>
  <c r="D56" i="2" s="1"/>
  <c r="D84" i="2" l="1"/>
  <c r="E88" i="2" s="1"/>
  <c r="D50" i="49" l="1"/>
  <c r="D34" i="4" s="1"/>
  <c r="E111" i="24" l="1"/>
  <c r="E37" i="4" s="1"/>
  <c r="E45" i="4" l="1"/>
  <c r="F89" i="2" s="1"/>
  <c r="F90" i="2" s="1"/>
  <c r="F37" i="4"/>
  <c r="F45" i="4" s="1"/>
  <c r="D15" i="12"/>
  <c r="D11" i="4" s="1"/>
  <c r="D30" i="12"/>
  <c r="D15" i="4" s="1"/>
  <c r="D5" i="12"/>
  <c r="D7" i="4" s="1"/>
  <c r="D57" i="13" l="1"/>
  <c r="D13" i="4" s="1"/>
  <c r="D42" i="13"/>
  <c r="D12" i="4" s="1"/>
  <c r="D111" i="24"/>
  <c r="D37" i="4" s="1"/>
  <c r="D1244" i="52"/>
  <c r="F301" i="52"/>
  <c r="F132" i="52"/>
  <c r="E1244" i="52"/>
  <c r="G1244" i="52"/>
  <c r="H1244" i="52"/>
  <c r="F1241" i="52" a="1"/>
  <c r="F1241" i="52" s="1"/>
  <c r="F1215" i="52" a="1"/>
  <c r="F1215" i="52" s="1"/>
  <c r="F1202" i="52" a="1"/>
  <c r="F1202" i="52" s="1"/>
  <c r="F1189" i="52" a="1"/>
  <c r="F1189" i="52" s="1"/>
  <c r="F1176" i="52" a="1"/>
  <c r="F1176" i="52" s="1"/>
  <c r="F1163" i="52" a="1"/>
  <c r="F1163" i="52" s="1"/>
  <c r="F1150" i="52" a="1"/>
  <c r="F1150" i="52" s="1"/>
  <c r="F1137" i="52" a="1"/>
  <c r="F1137" i="52" s="1"/>
  <c r="F1124" i="52" a="1"/>
  <c r="F1124" i="52" s="1"/>
  <c r="F1111" i="52" a="1"/>
  <c r="F1111" i="52" s="1"/>
  <c r="F1098" i="52" a="1"/>
  <c r="F1098" i="52" s="1"/>
  <c r="F1085" i="52" a="1"/>
  <c r="F1085" i="52" s="1"/>
  <c r="F1072" i="52" a="1"/>
  <c r="F1072" i="52" s="1"/>
  <c r="F1059" i="52" a="1"/>
  <c r="F1059" i="52" s="1"/>
  <c r="F1046" i="52" a="1"/>
  <c r="F1046" i="52" s="1"/>
  <c r="F1033" i="52" a="1"/>
  <c r="F1033" i="52" s="1"/>
  <c r="F1020" i="52" a="1"/>
  <c r="F1020" i="52" s="1"/>
  <c r="F1007" i="52" a="1"/>
  <c r="F1007" i="52" s="1"/>
  <c r="F994" i="52" a="1"/>
  <c r="F994" i="52" s="1"/>
  <c r="F981" i="52" a="1"/>
  <c r="F981" i="52" s="1"/>
  <c r="F968" i="52" a="1"/>
  <c r="F968" i="52" s="1"/>
  <c r="F955" i="52" a="1"/>
  <c r="F955" i="52" s="1"/>
  <c r="F942" i="52" a="1"/>
  <c r="F942" i="52" s="1"/>
  <c r="F929" i="52" a="1"/>
  <c r="F929" i="52" s="1"/>
  <c r="F916" i="52" a="1"/>
  <c r="F916" i="52" s="1"/>
  <c r="F903" i="52" a="1"/>
  <c r="F903" i="52" s="1"/>
  <c r="F890" i="52" a="1"/>
  <c r="F890" i="52" s="1"/>
  <c r="F877" i="52" a="1"/>
  <c r="F877" i="52" s="1"/>
  <c r="F864" i="52" a="1"/>
  <c r="F864" i="52" s="1"/>
  <c r="F851" i="52" a="1"/>
  <c r="F851" i="52" s="1"/>
  <c r="F838" i="52" a="1"/>
  <c r="F838" i="52" s="1"/>
  <c r="F825" i="52" a="1"/>
  <c r="F825" i="52" s="1"/>
  <c r="F812" i="52" a="1"/>
  <c r="F812" i="52" s="1"/>
  <c r="F799" i="52" a="1"/>
  <c r="F799" i="52" s="1"/>
  <c r="F786" i="52" a="1"/>
  <c r="F786" i="52" s="1"/>
  <c r="F773" i="52" a="1"/>
  <c r="F773" i="52" s="1"/>
  <c r="F760" i="52" a="1"/>
  <c r="F760" i="52" s="1"/>
  <c r="F747" i="52" a="1"/>
  <c r="F747" i="52" s="1"/>
  <c r="F734" i="52" a="1"/>
  <c r="F734" i="52" s="1"/>
  <c r="F721" i="52" a="1"/>
  <c r="F721" i="52" s="1"/>
  <c r="F708" i="52" a="1"/>
  <c r="F708" i="52" s="1"/>
  <c r="F695" i="52" a="1"/>
  <c r="F695" i="52" s="1"/>
  <c r="F682" i="52" a="1"/>
  <c r="F682" i="52" s="1"/>
  <c r="F669" i="52" a="1"/>
  <c r="F669" i="52" s="1"/>
  <c r="F656" i="52" a="1"/>
  <c r="F656" i="52" s="1"/>
  <c r="F643" i="52" a="1"/>
  <c r="F643" i="52" s="1"/>
  <c r="F630" i="52" a="1"/>
  <c r="F630" i="52" s="1"/>
  <c r="F616" i="52" a="1"/>
  <c r="F616" i="52" s="1"/>
  <c r="F603" i="52" a="1"/>
  <c r="F603" i="52" s="1"/>
  <c r="F590" i="52" a="1"/>
  <c r="F590" i="52" s="1"/>
  <c r="F573" i="52" a="1"/>
  <c r="F573" i="52" s="1"/>
  <c r="F560" i="52" a="1"/>
  <c r="F560" i="52" s="1"/>
  <c r="F547" i="52" a="1"/>
  <c r="F547" i="52" s="1"/>
  <c r="F534" i="52" a="1"/>
  <c r="F534" i="52" s="1"/>
  <c r="F521" i="52" a="1"/>
  <c r="F521" i="52" s="1"/>
  <c r="F508" i="52" a="1"/>
  <c r="F508" i="52" s="1"/>
  <c r="F495" i="52" a="1"/>
  <c r="F495" i="52" s="1"/>
  <c r="F482" i="52" a="1"/>
  <c r="F482" i="52" s="1"/>
  <c r="F469" i="52" a="1"/>
  <c r="F469" i="52" s="1"/>
  <c r="F456" i="52" a="1"/>
  <c r="F456" i="52" s="1"/>
  <c r="F444" i="52" a="1"/>
  <c r="F444" i="52" s="1"/>
  <c r="F431" i="52" a="1"/>
  <c r="F431" i="52" s="1"/>
  <c r="F418" i="52" a="1"/>
  <c r="F418" i="52" s="1"/>
  <c r="F405" i="52" a="1"/>
  <c r="F405" i="52" s="1"/>
  <c r="F392" i="52" a="1"/>
  <c r="F392" i="52" s="1"/>
  <c r="F379" i="52" a="1"/>
  <c r="F379" i="52" s="1"/>
  <c r="F366" i="52" a="1"/>
  <c r="F366" i="52" s="1"/>
  <c r="F353" i="52" a="1"/>
  <c r="F353" i="52" s="1"/>
  <c r="F340" i="52" a="1"/>
  <c r="F340" i="52" s="1"/>
  <c r="F327" i="52" a="1"/>
  <c r="F327" i="52" s="1"/>
  <c r="F314" i="52" a="1"/>
  <c r="F314" i="52" s="1"/>
  <c r="F288" i="52" a="1"/>
  <c r="F288" i="52" s="1"/>
  <c r="F275" i="52" a="1"/>
  <c r="F275" i="52" s="1"/>
  <c r="F262" i="52" a="1"/>
  <c r="F262" i="52" s="1"/>
  <c r="F249" i="52" a="1"/>
  <c r="F249" i="52" s="1"/>
  <c r="F236" i="52" a="1"/>
  <c r="F236" i="52" s="1"/>
  <c r="F223" i="52" a="1"/>
  <c r="F223" i="52" s="1"/>
  <c r="F210" i="52" a="1"/>
  <c r="F210" i="52" s="1"/>
  <c r="F197" i="52" a="1"/>
  <c r="F197" i="52" s="1"/>
  <c r="F184" i="52" a="1"/>
  <c r="F184" i="52" s="1"/>
  <c r="F171" i="52" a="1"/>
  <c r="F171" i="52" s="1"/>
  <c r="F158" i="52" a="1"/>
  <c r="F158" i="52" s="1"/>
  <c r="F145" i="52" a="1"/>
  <c r="F145" i="52" s="1"/>
  <c r="F118" i="52" a="1"/>
  <c r="F118" i="52" s="1"/>
  <c r="F104" i="52" a="1"/>
  <c r="F104" i="52" s="1"/>
  <c r="F91" i="52" a="1"/>
  <c r="F91" i="52" s="1"/>
  <c r="F78" i="52" a="1"/>
  <c r="F78" i="52" s="1"/>
  <c r="F65" i="52" a="1"/>
  <c r="F65" i="52" s="1"/>
  <c r="F52" i="52" a="1"/>
  <c r="F52" i="52" s="1"/>
  <c r="F39" i="52" a="1"/>
  <c r="F39" i="52" s="1"/>
  <c r="F26" i="52" a="1"/>
  <c r="F26" i="52" s="1"/>
  <c r="F13" i="52" a="1"/>
  <c r="F13" i="52" s="1"/>
  <c r="D22" i="12"/>
  <c r="D14" i="4" s="1"/>
  <c r="D45" i="4" l="1"/>
  <c r="E89" i="2" s="1"/>
  <c r="F1244" i="52"/>
  <c r="I856" i="53" l="1"/>
  <c r="I857" i="53"/>
  <c r="I852" i="53"/>
  <c r="I851" i="53"/>
  <c r="I762" i="53"/>
  <c r="I761" i="53"/>
  <c r="I725" i="53"/>
  <c r="I724" i="53"/>
  <c r="I636" i="53"/>
  <c r="I634" i="53"/>
  <c r="I557" i="53"/>
  <c r="I442" i="53"/>
  <c r="I537" i="53"/>
  <c r="I536" i="53"/>
  <c r="I535" i="53"/>
  <c r="I528" i="53"/>
  <c r="I525" i="53"/>
  <c r="I523" i="53"/>
  <c r="I519" i="53"/>
  <c r="I518" i="53"/>
  <c r="I502" i="53"/>
  <c r="I489" i="53"/>
  <c r="I465" i="53"/>
  <c r="I447" i="53"/>
  <c r="I444" i="53"/>
  <c r="I443" i="53"/>
  <c r="I434" i="53"/>
  <c r="I402" i="53"/>
  <c r="I399" i="53"/>
  <c r="I378" i="53"/>
  <c r="I379" i="53"/>
  <c r="H858" i="53"/>
  <c r="G858" i="53"/>
  <c r="F858" i="53"/>
  <c r="E858" i="53"/>
  <c r="D858" i="53"/>
  <c r="D247" i="53"/>
  <c r="I858" i="53" l="1"/>
  <c r="D860" i="53"/>
  <c r="C1238" i="52"/>
  <c r="C1242" i="52" s="1"/>
  <c r="C1229" i="52"/>
  <c r="C1212" i="52"/>
  <c r="C1216" i="52" s="1"/>
  <c r="C1199" i="52"/>
  <c r="C1203" i="52" s="1"/>
  <c r="C1186" i="52"/>
  <c r="C1190" i="52" s="1"/>
  <c r="C1177" i="52"/>
  <c r="C1160" i="52"/>
  <c r="C1164" i="52" s="1"/>
  <c r="C1151" i="52"/>
  <c r="C1134" i="52"/>
  <c r="C1138" i="52" s="1"/>
  <c r="C1121" i="52"/>
  <c r="C1125" i="52" s="1"/>
  <c r="C1108" i="52"/>
  <c r="C1112" i="52" s="1"/>
  <c r="C1099" i="52"/>
  <c r="C1086" i="52"/>
  <c r="C1073" i="52"/>
  <c r="C1056" i="52"/>
  <c r="C1060" i="52" s="1"/>
  <c r="C1043" i="52"/>
  <c r="C1047" i="52" s="1"/>
  <c r="C1034" i="52"/>
  <c r="C1021" i="52"/>
  <c r="C1008" i="52"/>
  <c r="C995" i="52"/>
  <c r="C981" i="52"/>
  <c r="C980" i="52"/>
  <c r="C979" i="52"/>
  <c r="C978" i="52"/>
  <c r="C977" i="52"/>
  <c r="C976" i="52"/>
  <c r="C975" i="52"/>
  <c r="C974" i="52"/>
  <c r="C973" i="52"/>
  <c r="C972" i="52"/>
  <c r="C971" i="52"/>
  <c r="C970" i="52"/>
  <c r="C965" i="52"/>
  <c r="C969" i="52" s="1"/>
  <c r="C952" i="52"/>
  <c r="C956" i="52" s="1"/>
  <c r="C939" i="52"/>
  <c r="C943" i="52" s="1"/>
  <c r="C926" i="52"/>
  <c r="C930" i="52" s="1"/>
  <c r="C917" i="52"/>
  <c r="C904" i="52"/>
  <c r="C887" i="52"/>
  <c r="C891" i="52" s="1"/>
  <c r="C874" i="52"/>
  <c r="C878" i="52" s="1"/>
  <c r="C861" i="52"/>
  <c r="C865" i="52" s="1"/>
  <c r="C848" i="52"/>
  <c r="C852" i="52" s="1"/>
  <c r="C839" i="52"/>
  <c r="C826" i="52"/>
  <c r="C813" i="52"/>
  <c r="C800" i="52"/>
  <c r="C787" i="52"/>
  <c r="C774" i="52"/>
  <c r="C761" i="52"/>
  <c r="C748" i="52"/>
  <c r="C732" i="52"/>
  <c r="C735" i="52" s="1"/>
  <c r="C722" i="52"/>
  <c r="C709" i="52"/>
  <c r="C696" i="52"/>
  <c r="C679" i="52"/>
  <c r="C683" i="52" s="1"/>
  <c r="C666" i="52"/>
  <c r="C670" i="52" s="1"/>
  <c r="C653" i="52"/>
  <c r="C657" i="52" s="1"/>
  <c r="C640" i="52"/>
  <c r="C644" i="52" s="1"/>
  <c r="C626" i="52"/>
  <c r="C624" i="52"/>
  <c r="C618" i="52"/>
  <c r="C613" i="52"/>
  <c r="C617" i="52" s="1"/>
  <c r="C604" i="52"/>
  <c r="C587" i="52"/>
  <c r="C591" i="52" s="1"/>
  <c r="C578" i="52"/>
  <c r="C567" i="52"/>
  <c r="C574" i="52" s="1"/>
  <c r="C561" i="52"/>
  <c r="C548" i="52"/>
  <c r="C531" i="52"/>
  <c r="C535" i="52" s="1"/>
  <c r="C518" i="52"/>
  <c r="C522" i="52" s="1"/>
  <c r="C505" i="52"/>
  <c r="C509" i="52" s="1"/>
  <c r="C492" i="52"/>
  <c r="C496" i="52" s="1"/>
  <c r="C477" i="52"/>
  <c r="C483" i="52" s="1"/>
  <c r="C466" i="52"/>
  <c r="C470" i="52" s="1"/>
  <c r="C457" i="52"/>
  <c r="C445" i="52"/>
  <c r="C432" i="52"/>
  <c r="C415" i="52"/>
  <c r="C419" i="52" s="1"/>
  <c r="C402" i="52"/>
  <c r="C406" i="52" s="1"/>
  <c r="C393" i="52"/>
  <c r="C376" i="52"/>
  <c r="C380" i="52" s="1"/>
  <c r="C363" i="52"/>
  <c r="C367" i="52" s="1"/>
  <c r="C350" i="52"/>
  <c r="C354" i="52" s="1"/>
  <c r="C341" i="52"/>
  <c r="C323" i="52"/>
  <c r="C328" i="52" s="1"/>
  <c r="C315" i="52"/>
  <c r="C296" i="52"/>
  <c r="C295" i="52"/>
  <c r="C294" i="52"/>
  <c r="C293" i="52"/>
  <c r="C292" i="52"/>
  <c r="C291" i="52"/>
  <c r="C290" i="52"/>
  <c r="C289" i="52"/>
  <c r="C272" i="52"/>
  <c r="C276" i="52" s="1"/>
  <c r="C259" i="52"/>
  <c r="C263" i="52" s="1"/>
  <c r="C250" i="52"/>
  <c r="C233" i="52"/>
  <c r="C237" i="52" s="1"/>
  <c r="C220" i="52"/>
  <c r="C224" i="52" s="1"/>
  <c r="C207" i="52"/>
  <c r="C211" i="52" s="1"/>
  <c r="C198" i="52"/>
  <c r="C184" i="52"/>
  <c r="C183" i="52"/>
  <c r="C182" i="52"/>
  <c r="C181" i="52"/>
  <c r="C180" i="52"/>
  <c r="C168" i="52"/>
  <c r="C172" i="52" s="1"/>
  <c r="C155" i="52"/>
  <c r="C159" i="52" s="1"/>
  <c r="C146" i="52"/>
  <c r="C133" i="52"/>
  <c r="C115" i="52"/>
  <c r="C119" i="52" s="1"/>
  <c r="C106" i="52"/>
  <c r="C105" i="52"/>
  <c r="C88" i="52"/>
  <c r="C92" i="52" s="1"/>
  <c r="C79" i="52"/>
  <c r="C66" i="52"/>
  <c r="C49" i="52"/>
  <c r="C53" i="52" s="1"/>
  <c r="C40" i="52"/>
  <c r="C23" i="52"/>
  <c r="C24" i="52" s="1"/>
  <c r="C25" i="52" s="1"/>
  <c r="C26" i="52" s="1"/>
  <c r="C22" i="52"/>
  <c r="C14" i="52"/>
  <c r="C185" i="52" l="1"/>
  <c r="C27" i="52"/>
  <c r="C302" i="52"/>
  <c r="C631" i="52"/>
  <c r="C982" i="52"/>
  <c r="C1244" i="5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<sst xmlns="http://schemas.openxmlformats.org/spreadsheetml/2006/main" count="2624" uniqueCount="1228">
  <si>
    <t xml:space="preserve">מס. חשבון </t>
  </si>
  <si>
    <t xml:space="preserve">שם חשבון </t>
  </si>
  <si>
    <t xml:space="preserve"> </t>
  </si>
  <si>
    <t xml:space="preserve">ארנונה כללית </t>
  </si>
  <si>
    <t xml:space="preserve">תעודות ואישורים </t>
  </si>
  <si>
    <t xml:space="preserve">אישור תושב </t>
  </si>
  <si>
    <t xml:space="preserve">אגרת שלטים </t>
  </si>
  <si>
    <t xml:space="preserve">רשוי עסקים </t>
  </si>
  <si>
    <t xml:space="preserve">מענק כללי </t>
  </si>
  <si>
    <t>מענק משרד הפנים-חד פעמיים</t>
  </si>
  <si>
    <t xml:space="preserve">שימוש במזבלה עירונית </t>
  </si>
  <si>
    <t xml:space="preserve">פנוי פסולת מגורים </t>
  </si>
  <si>
    <t xml:space="preserve">אגרת רשיונות לכלבים </t>
  </si>
  <si>
    <t xml:space="preserve">השתתפות ממשלה במשא"ז </t>
  </si>
  <si>
    <t xml:space="preserve">כיסוי הוצ' מח' הנדסה </t>
  </si>
  <si>
    <t xml:space="preserve">אגרת רשיונות בניה </t>
  </si>
  <si>
    <t xml:space="preserve">החזר מחברות ביטוח </t>
  </si>
  <si>
    <t xml:space="preserve">הכנסות ממכירת ציוד </t>
  </si>
  <si>
    <t xml:space="preserve">הכנסות שונות </t>
  </si>
  <si>
    <t>הכנסות בעד שרותים הנדסיים</t>
  </si>
  <si>
    <t xml:space="preserve">אגרת מידע </t>
  </si>
  <si>
    <t xml:space="preserve">חוק חופש המידע </t>
  </si>
  <si>
    <t xml:space="preserve">פרוייקט מחשב לכל ילד </t>
  </si>
  <si>
    <t>הכנסות מדוכנים-עצמאות קלי</t>
  </si>
  <si>
    <t xml:space="preserve">הכנסות מעמלת עו"ד </t>
  </si>
  <si>
    <t xml:space="preserve">הכנסות תרבות ערכי </t>
  </si>
  <si>
    <t xml:space="preserve">מבטחים-השתת' פנסיה </t>
  </si>
  <si>
    <t>הכנ' מהשבת כספים ביקורת א</t>
  </si>
  <si>
    <t xml:space="preserve">החזר הלוואת בעלים </t>
  </si>
  <si>
    <t xml:space="preserve">דוחות שיטור עירוני </t>
  </si>
  <si>
    <t xml:space="preserve">קנסות בתי משפט </t>
  </si>
  <si>
    <t xml:space="preserve">גזרי דין </t>
  </si>
  <si>
    <t>הכנסות הזנה- השתתפות הורי</t>
  </si>
  <si>
    <t>רישום מקביל גננות ע.מדינה</t>
  </si>
  <si>
    <t xml:space="preserve">דמי קייטנות </t>
  </si>
  <si>
    <t xml:space="preserve">פעילות קיץ לנוער </t>
  </si>
  <si>
    <t xml:space="preserve">תכנית ניצנים </t>
  </si>
  <si>
    <t xml:space="preserve">סל תלמיד עולה יסודי </t>
  </si>
  <si>
    <t xml:space="preserve">ביה"ס ניהול עצמי </t>
  </si>
  <si>
    <t xml:space="preserve">אגרת שיכפול </t>
  </si>
  <si>
    <t xml:space="preserve">מועדוניות ברשות </t>
  </si>
  <si>
    <t xml:space="preserve">הכנסות מחווה חקלאית </t>
  </si>
  <si>
    <t xml:space="preserve">הכנסות חווה חקלאית </t>
  </si>
  <si>
    <t xml:space="preserve">חינוך על יסודי </t>
  </si>
  <si>
    <t>הש.הממשלה בשרות פס.חינוכי</t>
  </si>
  <si>
    <t xml:space="preserve">השתת.הממשלה לקבסים </t>
  </si>
  <si>
    <t xml:space="preserve">השת ממשלה הסעות </t>
  </si>
  <si>
    <t xml:space="preserve">הכנסות מרכז ברוך </t>
  </si>
  <si>
    <t xml:space="preserve">השתתפות ממשלה בסל ספורט </t>
  </si>
  <si>
    <t xml:space="preserve">הכנסות אגף ספורט עירוני </t>
  </si>
  <si>
    <t xml:space="preserve">הכנסות מספריות </t>
  </si>
  <si>
    <t xml:space="preserve">הכנסות מזאפה </t>
  </si>
  <si>
    <t xml:space="preserve">שכ"ל בקונסרבטוריון </t>
  </si>
  <si>
    <t>השת.הממשלה בחינוך מוזיקלי</t>
  </si>
  <si>
    <t xml:space="preserve">שכר עובדי מחלקה </t>
  </si>
  <si>
    <t xml:space="preserve">כ"א לחינוך המיוחד </t>
  </si>
  <si>
    <t xml:space="preserve">נושמים לרווחה-כ"א </t>
  </si>
  <si>
    <t xml:space="preserve">מקלטים לנשים מוכות </t>
  </si>
  <si>
    <t xml:space="preserve">סיוע למשפחות עם ילדי </t>
  </si>
  <si>
    <t xml:space="preserve">שיחות רווחה </t>
  </si>
  <si>
    <t xml:space="preserve">תחנות לטפול במשפחה </t>
  </si>
  <si>
    <t xml:space="preserve">מ.טיפול באלימות ילדי חוץ </t>
  </si>
  <si>
    <t xml:space="preserve">תכנית למניעת אלימת </t>
  </si>
  <si>
    <t xml:space="preserve">מרכזי טיפול באלימות </t>
  </si>
  <si>
    <t xml:space="preserve">ת.לאומית נוער וצעירים </t>
  </si>
  <si>
    <t xml:space="preserve">יתד- סל גמיש </t>
  </si>
  <si>
    <t xml:space="preserve">מרכז עוצמה </t>
  </si>
  <si>
    <t xml:space="preserve">סדנאות למשפחה </t>
  </si>
  <si>
    <t xml:space="preserve">שכ"ל פנימיות </t>
  </si>
  <si>
    <t xml:space="preserve">השתתפות בבית אבות </t>
  </si>
  <si>
    <t xml:space="preserve">השתתפות במועדוניות-רווחה </t>
  </si>
  <si>
    <t xml:space="preserve">טיפול במשפחות אומנה </t>
  </si>
  <si>
    <t xml:space="preserve">יצירת קשר הורים-ילדי </t>
  </si>
  <si>
    <t xml:space="preserve">טיפול בילד בקהילה </t>
  </si>
  <si>
    <t xml:space="preserve">מועדוניות משותפות </t>
  </si>
  <si>
    <t xml:space="preserve">טיפול בפגיעות מיניות </t>
  </si>
  <si>
    <t xml:space="preserve">פגיעות מניות בגירים </t>
  </si>
  <si>
    <t xml:space="preserve">אחזקת ילדים בפנימיות </t>
  </si>
  <si>
    <t xml:space="preserve">תכנית עם הפנים לקהילה </t>
  </si>
  <si>
    <t xml:space="preserve">ילדים במעונות יום </t>
  </si>
  <si>
    <t xml:space="preserve">אחזקה במעונות- א.ותיק </t>
  </si>
  <si>
    <t xml:space="preserve">סיוע לניצולי שואה </t>
  </si>
  <si>
    <t xml:space="preserve">מועדונים - א.ותיק </t>
  </si>
  <si>
    <t xml:space="preserve">טיפול בקהילה- א.ותיק </t>
  </si>
  <si>
    <t xml:space="preserve">שכונה תומכת </t>
  </si>
  <si>
    <t xml:space="preserve">שרותים לניצולי שואה </t>
  </si>
  <si>
    <t xml:space="preserve">נופשון לזקן </t>
  </si>
  <si>
    <t xml:space="preserve">מיצוי זכויות לניצולי </t>
  </si>
  <si>
    <t xml:space="preserve">הפוגת בדידות בסופ"ש </t>
  </si>
  <si>
    <t xml:space="preserve">תוכנית למרותקי בית </t>
  </si>
  <si>
    <t xml:space="preserve">מסגרות יומיות א.ותיק </t>
  </si>
  <si>
    <t xml:space="preserve">מועדונים מועשרים </t>
  </si>
  <si>
    <t xml:space="preserve">נופשונים </t>
  </si>
  <si>
    <t xml:space="preserve">נופשונים וקייטנות </t>
  </si>
  <si>
    <t xml:space="preserve">מ.יום שיקומי לאוטיסט </t>
  </si>
  <si>
    <t xml:space="preserve">סביבה תומכת </t>
  </si>
  <si>
    <t xml:space="preserve">שיקום בקהילה - מוגבלויות </t>
  </si>
  <si>
    <t xml:space="preserve">משפחות אומנה מש"ה </t>
  </si>
  <si>
    <t xml:space="preserve">משפחות אומנה לשיקום </t>
  </si>
  <si>
    <t xml:space="preserve">סדור במעונות - מש"ה </t>
  </si>
  <si>
    <t xml:space="preserve">החזקת אוטיסטים במסגרת </t>
  </si>
  <si>
    <t xml:space="preserve">טיפול בהורים ובילדיה </t>
  </si>
  <si>
    <t xml:space="preserve">מועדוניות לילדים </t>
  </si>
  <si>
    <t xml:space="preserve">מ.יום ותעסוקה לבוגרי </t>
  </si>
  <si>
    <t xml:space="preserve">הסעות לאוטיסטים </t>
  </si>
  <si>
    <t xml:space="preserve">החזר ליווי הסעות רווחה </t>
  </si>
  <si>
    <t xml:space="preserve">הפעלת מעונות ממשלתיי </t>
  </si>
  <si>
    <t xml:space="preserve">מ.יום אימוני- מש"ה </t>
  </si>
  <si>
    <t xml:space="preserve">מ.יום טיפולי - מש"ה </t>
  </si>
  <si>
    <t xml:space="preserve">מעשי"ם </t>
  </si>
  <si>
    <t xml:space="preserve">הסעות למ.יום -מש"ה </t>
  </si>
  <si>
    <t xml:space="preserve">נופשונים - מש"ה </t>
  </si>
  <si>
    <t xml:space="preserve">הדרכת עיוור ובני ביתו </t>
  </si>
  <si>
    <t xml:space="preserve">אחזקת נכים בפנימיות </t>
  </si>
  <si>
    <t xml:space="preserve">אחזקת נכים במש. אומנה </t>
  </si>
  <si>
    <t xml:space="preserve">תעסוקה מוגנת למוגבל </t>
  </si>
  <si>
    <t xml:space="preserve">מס. יום לילד המוגבל </t>
  </si>
  <si>
    <t xml:space="preserve">מ. יום שיקומי לנכים </t>
  </si>
  <si>
    <t xml:space="preserve">ליווי למ.יום שיקומי </t>
  </si>
  <si>
    <t xml:space="preserve">תוכניות לילד החריג </t>
  </si>
  <si>
    <t xml:space="preserve">מועדון חברתי לבוגרים </t>
  </si>
  <si>
    <t xml:space="preserve">קהילה תומכת לנכים </t>
  </si>
  <si>
    <t xml:space="preserve">תעסוקה נתמכת לנכים </t>
  </si>
  <si>
    <t xml:space="preserve">תוכניות תמיכה בקהילה </t>
  </si>
  <si>
    <t xml:space="preserve">הסעות מרכז יום שיקומי </t>
  </si>
  <si>
    <t xml:space="preserve">נכים קשים בקהילה </t>
  </si>
  <si>
    <t xml:space="preserve">שיקום נכים בקהילה </t>
  </si>
  <si>
    <t xml:space="preserve">טיפול בנוער ובצעירים </t>
  </si>
  <si>
    <t xml:space="preserve">בתים חמים לנערות </t>
  </si>
  <si>
    <t xml:space="preserve">טיפול בנערות במצוקה </t>
  </si>
  <si>
    <t xml:space="preserve">נוער וצעי. חוץ ביתי </t>
  </si>
  <si>
    <t xml:space="preserve">בדיקות סמים וסיוע </t>
  </si>
  <si>
    <t xml:space="preserve">סמים טיפול בקהילה </t>
  </si>
  <si>
    <t xml:space="preserve">הערכות לחירום </t>
  </si>
  <si>
    <t xml:space="preserve">פע' התנדבות בקהילה </t>
  </si>
  <si>
    <t xml:space="preserve">לשכות ייעוץ לאזרח </t>
  </si>
  <si>
    <t xml:space="preserve">מעשי"ם -עולים </t>
  </si>
  <si>
    <t xml:space="preserve">משפחות עולים במצוקה </t>
  </si>
  <si>
    <t xml:space="preserve">טיפול אובדן ושכול </t>
  </si>
  <si>
    <t xml:space="preserve">.טיפ.באלימות עולים </t>
  </si>
  <si>
    <t xml:space="preserve">טיפול בעולים - א.ותיק </t>
  </si>
  <si>
    <t xml:space="preserve">עובדי שכונה עולים </t>
  </si>
  <si>
    <t xml:space="preserve">מעונות יום עולים </t>
  </si>
  <si>
    <t xml:space="preserve">מועדון לעולים-העשרה </t>
  </si>
  <si>
    <t xml:space="preserve">אגרות מים </t>
  </si>
  <si>
    <t>הכנסות שכ"ד משרדים ועסקים</t>
  </si>
  <si>
    <t xml:space="preserve">שכר דירה אודיטוריום </t>
  </si>
  <si>
    <t xml:space="preserve">הכנסות מרשות החניה </t>
  </si>
  <si>
    <t xml:space="preserve">אגרת ביוב </t>
  </si>
  <si>
    <t xml:space="preserve">היטל ביוב </t>
  </si>
  <si>
    <t xml:space="preserve">הכנסות מריבית ודוידנד </t>
  </si>
  <si>
    <t xml:space="preserve">העברה מקרנות </t>
  </si>
  <si>
    <t xml:space="preserve">הכנסות שנים קודמות </t>
  </si>
  <si>
    <t xml:space="preserve">עודף מצטבר </t>
  </si>
  <si>
    <t xml:space="preserve">ציוד משרדי לשכת ראש העיר </t>
  </si>
  <si>
    <t xml:space="preserve">כיבוד לשכת ראש העיר </t>
  </si>
  <si>
    <t xml:space="preserve">דלק ושמנים לשכת ראש העיר </t>
  </si>
  <si>
    <t xml:space="preserve">תיקוני רכב לשכת ראש העיר </t>
  </si>
  <si>
    <t xml:space="preserve">פרסומים לשכת ראש העיר </t>
  </si>
  <si>
    <t xml:space="preserve">קופה קטנה סגן ראש העיר </t>
  </si>
  <si>
    <t xml:space="preserve">קופה קטנה פיתוח דמוגרפי </t>
  </si>
  <si>
    <t xml:space="preserve">ציוד משרדי מבקר העיריה </t>
  </si>
  <si>
    <t xml:space="preserve">דלק ושמנים מבקר העיריה </t>
  </si>
  <si>
    <t xml:space="preserve">תיקוני רכב מבקר העיריה </t>
  </si>
  <si>
    <t>שכירות ליסינג מבקר העיריה</t>
  </si>
  <si>
    <t xml:space="preserve">קופה קטנה מבקר העיריה </t>
  </si>
  <si>
    <t xml:space="preserve">ציוד משרדי מינהל כללי </t>
  </si>
  <si>
    <t xml:space="preserve">כיבוד מינהל כללי </t>
  </si>
  <si>
    <t xml:space="preserve">ספרים ועיתונים </t>
  </si>
  <si>
    <t xml:space="preserve">דלק ושמנים מינהל כללי </t>
  </si>
  <si>
    <t xml:space="preserve">תיקוני רכב מינהל כללי </t>
  </si>
  <si>
    <t xml:space="preserve">רישוי ובטוח מינהל כללי </t>
  </si>
  <si>
    <t xml:space="preserve">שכירות ליסינג מינהל כללי </t>
  </si>
  <si>
    <t xml:space="preserve">קופה קטנה פרויקטים </t>
  </si>
  <si>
    <t xml:space="preserve">קופה קטנה מינהל כללי </t>
  </si>
  <si>
    <t xml:space="preserve">קופה קטנה יד לבנים </t>
  </si>
  <si>
    <t xml:space="preserve">או"ש הדרכה ולימודים </t>
  </si>
  <si>
    <t xml:space="preserve">חשמל ומים בית משפט </t>
  </si>
  <si>
    <t xml:space="preserve">כיבוד יועץ משפטי </t>
  </si>
  <si>
    <t xml:space="preserve">ספרים ועתונים </t>
  </si>
  <si>
    <t xml:space="preserve">דלק ושמנים יועץ משפטי </t>
  </si>
  <si>
    <t xml:space="preserve">תיקוני רכב יועץ משפטי </t>
  </si>
  <si>
    <t xml:space="preserve">שכירות ליסינג יועץ משפטי </t>
  </si>
  <si>
    <t xml:space="preserve">הוצ' קבלניות ליעוץ משפטי </t>
  </si>
  <si>
    <t xml:space="preserve">ציוד משרדי יועץ משפטי </t>
  </si>
  <si>
    <t xml:space="preserve">ציוד משרדי גזברות </t>
  </si>
  <si>
    <t xml:space="preserve">כיבוד גזברות </t>
  </si>
  <si>
    <t xml:space="preserve">דלק ושמנים גזברות </t>
  </si>
  <si>
    <t xml:space="preserve">תיקוני רכב גזברות </t>
  </si>
  <si>
    <t xml:space="preserve">שכירות ליסינג גזברות </t>
  </si>
  <si>
    <t xml:space="preserve">ציוד משרדי הנהלת חשבונות </t>
  </si>
  <si>
    <t xml:space="preserve">כיבוד הנהלת חשבונות </t>
  </si>
  <si>
    <t xml:space="preserve">מיחשוב מערכות ליבה הנה"ח </t>
  </si>
  <si>
    <t xml:space="preserve">ציוד משרדי גביה </t>
  </si>
  <si>
    <t xml:space="preserve">כיבוד גביה </t>
  </si>
  <si>
    <t xml:space="preserve">תשלומים קרן הלוואה </t>
  </si>
  <si>
    <t xml:space="preserve">תשלומים ריבית הלוואה </t>
  </si>
  <si>
    <t xml:space="preserve">תשלומים הצמדה הלוואה </t>
  </si>
  <si>
    <t xml:space="preserve">מיחזור מלוות </t>
  </si>
  <si>
    <t xml:space="preserve">ציוד משרדי תברואה </t>
  </si>
  <si>
    <t xml:space="preserve">כיבוד תברואה </t>
  </si>
  <si>
    <t xml:space="preserve">דלק ושמנים תברואה </t>
  </si>
  <si>
    <t xml:space="preserve">תיקוני רכב תברואה </t>
  </si>
  <si>
    <t xml:space="preserve">רשוי וביטוח תברואה </t>
  </si>
  <si>
    <t xml:space="preserve">שכירות ליסינג תברואה </t>
  </si>
  <si>
    <t xml:space="preserve">קופה קטנה שפ"ע </t>
  </si>
  <si>
    <t xml:space="preserve">תיקונים מח' רכב </t>
  </si>
  <si>
    <t xml:space="preserve">דלק ושמנים נקיון </t>
  </si>
  <si>
    <t xml:space="preserve">תיקוני רכב מח' נקיון </t>
  </si>
  <si>
    <t xml:space="preserve">רשוי וביטוח נקיון </t>
  </si>
  <si>
    <t xml:space="preserve">שכירות ליסינג נקיון </t>
  </si>
  <si>
    <t xml:space="preserve">הוצאות אחזקה מח' נקיון </t>
  </si>
  <si>
    <t xml:space="preserve">נקיון בתי ספר </t>
  </si>
  <si>
    <t xml:space="preserve">דלק ושמנים אשפה </t>
  </si>
  <si>
    <t xml:space="preserve">רישוי וביטוח אשפה </t>
  </si>
  <si>
    <t xml:space="preserve">תיקוני רכב תחנת מעבר </t>
  </si>
  <si>
    <t xml:space="preserve">חשמל ומים מחסן רעלים </t>
  </si>
  <si>
    <t xml:space="preserve">ציוד משרדי בטחון </t>
  </si>
  <si>
    <t xml:space="preserve">דלק ושמנים בטחון </t>
  </si>
  <si>
    <t xml:space="preserve">תיקוני רכב בטחון </t>
  </si>
  <si>
    <t xml:space="preserve">רישוי ובטוח בטחון </t>
  </si>
  <si>
    <t xml:space="preserve">שכירות ליסינג בטחון </t>
  </si>
  <si>
    <t xml:space="preserve">קופה קטנה בטחון </t>
  </si>
  <si>
    <t xml:space="preserve">הוצאות משא"ז </t>
  </si>
  <si>
    <t xml:space="preserve">הוצאות שוטפות- הג"א </t>
  </si>
  <si>
    <t xml:space="preserve">כיבוי אש </t>
  </si>
  <si>
    <t xml:space="preserve">אחזקת מחסן פס"ח </t>
  </si>
  <si>
    <t xml:space="preserve">חשמל ומים </t>
  </si>
  <si>
    <t xml:space="preserve">ציוד משרדי הנדסה </t>
  </si>
  <si>
    <t xml:space="preserve">כיבוד הנדסה </t>
  </si>
  <si>
    <t xml:space="preserve">תיקוני רכב הנדסה </t>
  </si>
  <si>
    <t xml:space="preserve">הוצאות מח' הנדסה </t>
  </si>
  <si>
    <t xml:space="preserve">קופה קטנה הנדסה </t>
  </si>
  <si>
    <t>קופה קטנה ועדה מקומית לבנ</t>
  </si>
  <si>
    <t xml:space="preserve">ציוד משרדי ועדת בנין עיר </t>
  </si>
  <si>
    <t xml:space="preserve">דלק ושמנים הנדסה </t>
  </si>
  <si>
    <t xml:space="preserve">שכירות ליסינג הנדסה </t>
  </si>
  <si>
    <t xml:space="preserve">תיקוני רכב תשתיות </t>
  </si>
  <si>
    <t xml:space="preserve">שכירות ליסינג תשתיות </t>
  </si>
  <si>
    <t xml:space="preserve">אחזקת רמזורים </t>
  </si>
  <si>
    <t xml:space="preserve">ציוד משרדי גינון </t>
  </si>
  <si>
    <t xml:space="preserve">דלק ושמנים גינון </t>
  </si>
  <si>
    <t xml:space="preserve">תיקוני רכב גינון </t>
  </si>
  <si>
    <t xml:space="preserve">רישוי ובטוח גינון </t>
  </si>
  <si>
    <t xml:space="preserve">שכירות ליסינג גינון </t>
  </si>
  <si>
    <t xml:space="preserve">הוצאות מים גינון </t>
  </si>
  <si>
    <t xml:space="preserve">יום העצמאות </t>
  </si>
  <si>
    <t xml:space="preserve">ארועים עירוניים </t>
  </si>
  <si>
    <t xml:space="preserve">ארוח משלחות </t>
  </si>
  <si>
    <t xml:space="preserve">מוקד עירוני </t>
  </si>
  <si>
    <t xml:space="preserve">קופה קטנה מוקד עירוני </t>
  </si>
  <si>
    <t xml:space="preserve">שרות לתושב </t>
  </si>
  <si>
    <t xml:space="preserve">קופה קטנה שרות לתושב </t>
  </si>
  <si>
    <t xml:space="preserve">קופה קטנה ועד עובדים </t>
  </si>
  <si>
    <t xml:space="preserve">ועד עובדים </t>
  </si>
  <si>
    <t xml:space="preserve">ביטוח- השתתפות עצמית </t>
  </si>
  <si>
    <t xml:space="preserve">ביטוח-פרמיה </t>
  </si>
  <si>
    <t xml:space="preserve">פיתוח כלכלי </t>
  </si>
  <si>
    <t xml:space="preserve">ציוד משרדי גישור </t>
  </si>
  <si>
    <t xml:space="preserve">מינהלת תעשיה </t>
  </si>
  <si>
    <t xml:space="preserve">מינהלת צעירים </t>
  </si>
  <si>
    <t xml:space="preserve">ציוד משרדי בית משפט </t>
  </si>
  <si>
    <t xml:space="preserve">ציוד משרדי חינוך </t>
  </si>
  <si>
    <t xml:space="preserve">דלק ושמנים חינוך </t>
  </si>
  <si>
    <t xml:space="preserve">תיקוני רכב חינוך </t>
  </si>
  <si>
    <t xml:space="preserve">שכירות ליסינג חינוך </t>
  </si>
  <si>
    <t xml:space="preserve">קופה קטנה חינוך </t>
  </si>
  <si>
    <t xml:space="preserve">הוצאות גני ילדים </t>
  </si>
  <si>
    <t xml:space="preserve">חשמל ומים גני ילדים </t>
  </si>
  <si>
    <t xml:space="preserve">ויצו ונעמת </t>
  </si>
  <si>
    <t xml:space="preserve">מרכז מדע ודעת </t>
  </si>
  <si>
    <t xml:space="preserve">ביה"ס כלנית ניהול עצמי </t>
  </si>
  <si>
    <t xml:space="preserve">חשמל ומים ביה"ס עמיחי </t>
  </si>
  <si>
    <t xml:space="preserve">חשמל ומים ביה"ס רקפת </t>
  </si>
  <si>
    <t xml:space="preserve">ביה"ס רקפת ניהול עצמי </t>
  </si>
  <si>
    <t xml:space="preserve">ביה"ס הרעות ניהול עצמי </t>
  </si>
  <si>
    <t xml:space="preserve">חשמל ומים ביה"ס הדקל </t>
  </si>
  <si>
    <t xml:space="preserve">ביה"ס הדקל ניהול עצמי </t>
  </si>
  <si>
    <t xml:space="preserve">ביה"ס מוריה ניהול עצמי </t>
  </si>
  <si>
    <t xml:space="preserve">חשמל ומים ניצנים </t>
  </si>
  <si>
    <t xml:space="preserve">ביה"ס ניצנים ניהול עצמי </t>
  </si>
  <si>
    <t xml:space="preserve">ביה"ס אופק ניהול עצמי </t>
  </si>
  <si>
    <t xml:space="preserve">ביה"ס איריסים ניהול עצמי </t>
  </si>
  <si>
    <t xml:space="preserve">ציוד משרדי חווה חקלאית </t>
  </si>
  <si>
    <t xml:space="preserve">חשמל ומים על יסודי </t>
  </si>
  <si>
    <t xml:space="preserve">חינוך על יסודי אמי"ת </t>
  </si>
  <si>
    <t xml:space="preserve">קופה קטנה מרכז פסג"ה </t>
  </si>
  <si>
    <t xml:space="preserve">חשמל ומים שרות פסיכולוגי </t>
  </si>
  <si>
    <t>ציוד משרדי שרות פסיכולוגי</t>
  </si>
  <si>
    <t xml:space="preserve">הוצאות להדרכת פסיכולוגים </t>
  </si>
  <si>
    <t xml:space="preserve">קופה קטנה שפ"י </t>
  </si>
  <si>
    <t xml:space="preserve">הסעות תלמידים </t>
  </si>
  <si>
    <t xml:space="preserve">רשוי וביטוח חינוך </t>
  </si>
  <si>
    <t xml:space="preserve">דלק ושמנים תרבות </t>
  </si>
  <si>
    <t xml:space="preserve">תיקוני רכב תרבות </t>
  </si>
  <si>
    <t xml:space="preserve">שכירות ליסינג תרבות </t>
  </si>
  <si>
    <t xml:space="preserve">פעולות תרבות לחיילים </t>
  </si>
  <si>
    <t xml:space="preserve">ציוד משרדי תרבות </t>
  </si>
  <si>
    <t xml:space="preserve">רשוי ובטוח תרבות </t>
  </si>
  <si>
    <t xml:space="preserve">הוצאות תרבות </t>
  </si>
  <si>
    <t xml:space="preserve">קופה קטנה מרכז ברוך </t>
  </si>
  <si>
    <t xml:space="preserve">מרכז ברוך כנגד הפקדות </t>
  </si>
  <si>
    <t xml:space="preserve">הוצאות דיינר כנגד הפקדות </t>
  </si>
  <si>
    <t xml:space="preserve">חשמל ומים ספריה </t>
  </si>
  <si>
    <t xml:space="preserve">ציוד משרדי ספריה </t>
  </si>
  <si>
    <t xml:space="preserve">סיוע למתנ"ס תשלומי פרישה </t>
  </si>
  <si>
    <t xml:space="preserve">הסעות קונסרבטוריון </t>
  </si>
  <si>
    <t xml:space="preserve">ציוד משרדי קונסרבטוריון </t>
  </si>
  <si>
    <t xml:space="preserve">קופה קטנה קונסרבטוריון </t>
  </si>
  <si>
    <t xml:space="preserve">השתתפות בהיכל התרבות </t>
  </si>
  <si>
    <t xml:space="preserve">החזר הלוואה היכל התרבות </t>
  </si>
  <si>
    <t xml:space="preserve">פסטיבל תמיכה שנתית </t>
  </si>
  <si>
    <t xml:space="preserve">תמיכה במוסדות דת </t>
  </si>
  <si>
    <t xml:space="preserve">זאפה- תשלומים לאומנים </t>
  </si>
  <si>
    <t xml:space="preserve">ציוד משרדי קידום נוער </t>
  </si>
  <si>
    <t xml:space="preserve">רזרבה תנועות הנוער </t>
  </si>
  <si>
    <t xml:space="preserve">אגודות ספורט </t>
  </si>
  <si>
    <t xml:space="preserve">שרותי נט"ן/מד"א </t>
  </si>
  <si>
    <t xml:space="preserve">ציוד משרדי רווחה </t>
  </si>
  <si>
    <t xml:space="preserve">כיבוד רווחה </t>
  </si>
  <si>
    <t xml:space="preserve">דלק ושמנים רווחה </t>
  </si>
  <si>
    <t xml:space="preserve">תיקוני רכב רווחה </t>
  </si>
  <si>
    <t xml:space="preserve">רישוי ובטוח רווחה </t>
  </si>
  <si>
    <t xml:space="preserve">קופה קטנה רווחה </t>
  </si>
  <si>
    <t xml:space="preserve">משפחות במצוקה קהילה </t>
  </si>
  <si>
    <t xml:space="preserve">מסגרות ארציות לדרי רחוב </t>
  </si>
  <si>
    <t xml:space="preserve">תחנות לטיפול במשפחה </t>
  </si>
  <si>
    <t xml:space="preserve">תכנית למניעת אלימות </t>
  </si>
  <si>
    <t>תכנית לאומית נוער וצעירים</t>
  </si>
  <si>
    <t xml:space="preserve">יתד תכנית צעירים </t>
  </si>
  <si>
    <t xml:space="preserve">יצירת קשר הורים-ילדים </t>
  </si>
  <si>
    <t xml:space="preserve">מרכז חירום אקסטרניים </t>
  </si>
  <si>
    <t xml:space="preserve">אחזקה במעונות- אזרח ותיק </t>
  </si>
  <si>
    <t xml:space="preserve">מועדונים לאזרחים ותיקים </t>
  </si>
  <si>
    <t xml:space="preserve">טיפול בקהילה- אזרח ותיק </t>
  </si>
  <si>
    <t xml:space="preserve">מסגרות יומיות אזרח ותיק </t>
  </si>
  <si>
    <t xml:space="preserve">משפחות אומנה-מש"ה </t>
  </si>
  <si>
    <t xml:space="preserve">סדור מעונות במש"ה </t>
  </si>
  <si>
    <t xml:space="preserve">טיפול בהורים ובילדיהם </t>
  </si>
  <si>
    <t xml:space="preserve">מרכז יום ותעסוקה לבוגרים </t>
  </si>
  <si>
    <t xml:space="preserve">הפעלת מעונות ממשלתיים </t>
  </si>
  <si>
    <t xml:space="preserve">מש"ה במעון אמוני </t>
  </si>
  <si>
    <t xml:space="preserve">מש"ה במעון טיפולי </t>
  </si>
  <si>
    <t xml:space="preserve">הסעות למרכז יום למש"ה </t>
  </si>
  <si>
    <t xml:space="preserve">נופשונים למש"ה </t>
  </si>
  <si>
    <t xml:space="preserve">אחזקת נכים במשפחות אומנה </t>
  </si>
  <si>
    <t xml:space="preserve">מסגרת יום לילד המוגבל </t>
  </si>
  <si>
    <t xml:space="preserve">מרכז יום שיקומי לנכים </t>
  </si>
  <si>
    <t xml:space="preserve">ליווי למרכז יום שיקומי </t>
  </si>
  <si>
    <t xml:space="preserve">נוער וצעיר. חוץ ביתי </t>
  </si>
  <si>
    <t xml:space="preserve">התמכרויות-חוץ ביתי </t>
  </si>
  <si>
    <t xml:space="preserve">היערכות לחירום </t>
  </si>
  <si>
    <t xml:space="preserve">פעולות התנדבות בקהילה </t>
  </si>
  <si>
    <t xml:space="preserve">עבודה קהילתית </t>
  </si>
  <si>
    <t xml:space="preserve">מרכז טיפול באלימות עולים </t>
  </si>
  <si>
    <t xml:space="preserve">טיפול בעולים - אזרח ותיק </t>
  </si>
  <si>
    <t>השתתפות בתקציב מועצה דתית</t>
  </si>
  <si>
    <t xml:space="preserve">ציוד משרדי קליטה </t>
  </si>
  <si>
    <t xml:space="preserve">תמיכות בארגוני עולים </t>
  </si>
  <si>
    <t xml:space="preserve">איגוד ערים איכות סביבה </t>
  </si>
  <si>
    <t xml:space="preserve">ציוד משרדי תשתיות </t>
  </si>
  <si>
    <t xml:space="preserve">דלק ושמנים תשתיות </t>
  </si>
  <si>
    <t xml:space="preserve">רישוי וביטוח תשתיות </t>
  </si>
  <si>
    <t xml:space="preserve">הוצאות מח' תשתיות </t>
  </si>
  <si>
    <t xml:space="preserve">ציוד משרדי הון אנושי </t>
  </si>
  <si>
    <t xml:space="preserve">ברוש תקשורת </t>
  </si>
  <si>
    <t xml:space="preserve">חשמל ומים דירת מגורים </t>
  </si>
  <si>
    <t xml:space="preserve">הוצאות אחרות מח' נכסים </t>
  </si>
  <si>
    <t xml:space="preserve">ציוד משרדי רשות החניה </t>
  </si>
  <si>
    <t xml:space="preserve">דלק ושמנים רשות החניה </t>
  </si>
  <si>
    <t xml:space="preserve">תיקוני רכב רשות החניה </t>
  </si>
  <si>
    <t xml:space="preserve">רישוי וביטוח רשות החניה </t>
  </si>
  <si>
    <t xml:space="preserve">הוצאות אכיפה רשות החניה </t>
  </si>
  <si>
    <t xml:space="preserve">הוצאות שוטפות רשות החניה </t>
  </si>
  <si>
    <t xml:space="preserve">קופה קטנה רשות החניה </t>
  </si>
  <si>
    <t>חינוך- השתתפות ממשלה</t>
  </si>
  <si>
    <t>חינוך עצמיות</t>
  </si>
  <si>
    <t>רישום מקביל גננות</t>
  </si>
  <si>
    <t>תרבות- השתתפות ממשלה</t>
  </si>
  <si>
    <t>תרבות-עצמיות</t>
  </si>
  <si>
    <t>הכנסות מפסטיבל עצמיות</t>
  </si>
  <si>
    <t>הכנסות פסטיבל- השתתפות ממשלה</t>
  </si>
  <si>
    <t>רווחה- השתתפות ממשלה</t>
  </si>
  <si>
    <t>רווחה- עצמיות</t>
  </si>
  <si>
    <t>מס חשבון</t>
  </si>
  <si>
    <t>שם חשבון</t>
  </si>
  <si>
    <t>סעיף</t>
  </si>
  <si>
    <t>שם החשבון</t>
  </si>
  <si>
    <t>משכורות שוטף</t>
  </si>
  <si>
    <t>פנסיונרים ופיצויים</t>
  </si>
  <si>
    <t>שכר דירה</t>
  </si>
  <si>
    <t>430-771</t>
  </si>
  <si>
    <t>חשמל,מים מוסדות עירייה ותאורת רחובות</t>
  </si>
  <si>
    <t>ביטוחים כלליים</t>
  </si>
  <si>
    <t>אחזקת מכונות - מדפסות וציוד משרדי</t>
  </si>
  <si>
    <t>הוצאות כיבוד</t>
  </si>
  <si>
    <t>ארוח משלחות</t>
  </si>
  <si>
    <t>ספרים ועיתונים</t>
  </si>
  <si>
    <t>דלק ושמנים</t>
  </si>
  <si>
    <t>תיקונים</t>
  </si>
  <si>
    <t>ליסינג רכבי עירייה</t>
  </si>
  <si>
    <t>הוצאות תקשורת וניידים, נייחים ודואר</t>
  </si>
  <si>
    <t>פרסומים</t>
  </si>
  <si>
    <t>הוצאות מחשוב,מערכות ליבה: הנה"ח,גביה ושכר</t>
  </si>
  <si>
    <t>ריבית ועמלות</t>
  </si>
  <si>
    <t>691-693</t>
  </si>
  <si>
    <t>פרעון מלוות</t>
  </si>
  <si>
    <t>הסעות תלמידים</t>
  </si>
  <si>
    <t>הוצאות מים וגינון</t>
  </si>
  <si>
    <t>עבודות קבלניות</t>
  </si>
  <si>
    <t>הוצאות פעילות שוטפת לפי פרוט מחלקות</t>
  </si>
  <si>
    <t>פיתוח כלכלי</t>
  </si>
  <si>
    <t>החזר השתתפות משלחות פולין וייצוג העירייה והחזר מתנות לנבחרים</t>
  </si>
  <si>
    <t>השתתפויות ותמיכות בפעילויות</t>
  </si>
  <si>
    <t>הג"א ארצי</t>
  </si>
  <si>
    <t>רווחה</t>
  </si>
  <si>
    <t xml:space="preserve">הוצאות שנים קודמות </t>
  </si>
  <si>
    <t>רזרבה לפעולות</t>
  </si>
  <si>
    <t>הוצאות לשעת חירום מותנות</t>
  </si>
  <si>
    <t>סה"כ</t>
  </si>
  <si>
    <t>הכנסות בנושא חינוך - השתתפות ממשלה</t>
  </si>
  <si>
    <t>הכנסות בנושא חינוך - הכנסות עצמיות</t>
  </si>
  <si>
    <t>הכנסות בנושא תרבות - השתתפות ממשלה</t>
  </si>
  <si>
    <t>הכנסות בנושא תרבות - הכנסות עצמיות</t>
  </si>
  <si>
    <t>הכנסות פסטיבל - עצמיות, תרומות, פרסום וייעודיות</t>
  </si>
  <si>
    <t>הכנסות בנושא רווחה - השתתפות ממשלה</t>
  </si>
  <si>
    <t xml:space="preserve"> הכנסות בנושא רווחה - הכנסות עצמיות</t>
  </si>
  <si>
    <t xml:space="preserve"> סה"כ</t>
  </si>
  <si>
    <t>הוצאות חשמל ומים עפ"י פירוט מחלקתי</t>
  </si>
  <si>
    <t>תשלומי שכר דירה</t>
  </si>
  <si>
    <t>מס' חשבון</t>
  </si>
  <si>
    <t>הוצאות ספרים ועיתונים</t>
  </si>
  <si>
    <t>הוצאות כיבוד עפ"י חלוקה מחלקתית</t>
  </si>
  <si>
    <t xml:space="preserve">כיבוד </t>
  </si>
  <si>
    <t>הוצאות דלק: כרטיסי תדלוק ודלקנים עבור רכבי העירייה</t>
  </si>
  <si>
    <t>דמי שימוש מכונת טיאוט קטנה</t>
  </si>
  <si>
    <t>דמי שימוש משאית רמסע</t>
  </si>
  <si>
    <t>הוצאות תיקוני רכבי עירייה שאינם בליסינג עפ"י חלוקה</t>
  </si>
  <si>
    <t>רישוי וביטוח לשכת ראש העיר</t>
  </si>
  <si>
    <t>רישוי וביטוח קליטה</t>
  </si>
  <si>
    <t>הוצאות ליסינג רכבי עירייה</t>
  </si>
  <si>
    <t>שכירות ליסינג לשכת ראש העיר</t>
  </si>
  <si>
    <t>הוצאות תקשורת ניידים,נייחים ודואר</t>
  </si>
  <si>
    <t>הוצאות פרסום</t>
  </si>
  <si>
    <t>הוצאות מים גינון</t>
  </si>
  <si>
    <t>הוצאות ריבית ועמלות</t>
  </si>
  <si>
    <t>עבודות קבלניות עפ"י פירוט</t>
  </si>
  <si>
    <t>תשלומי זכויות יוצרים (הפדרציה, אקו"ם ואשכולות)</t>
  </si>
  <si>
    <t>הוצאות יעוץ עפ"י שעות בנושא דוחות כספיים ותיקי ני"ע</t>
  </si>
  <si>
    <t>הוצאות שוטפות מחלקת גביה(אורדע, זייד אורניב, חברי ועדת ערר)</t>
  </si>
  <si>
    <t>הוצאות אכיפה המתבצעת ע"י הגביה</t>
  </si>
  <si>
    <t>אבטחת מוסדות חינוך (מכרז משכ"ל)</t>
  </si>
  <si>
    <t xml:space="preserve">עבודות קבלניות פסטיבל </t>
  </si>
  <si>
    <t xml:space="preserve">סה"כ </t>
  </si>
  <si>
    <t>החזר מתנות לנבחרים והשתתפות ליחידים</t>
  </si>
  <si>
    <t>השתתפויות ותרומות</t>
  </si>
  <si>
    <t>הוצאות פעילות שוטפת עפ"י פירוט מחלקתי</t>
  </si>
  <si>
    <t>סל תרבות כנגד הכנסות עצמיות</t>
  </si>
  <si>
    <t xml:space="preserve"> שכ"ע מורים ופעולות-קונסבטוריון </t>
  </si>
  <si>
    <t>להקות מחול - השתתפות עירייה</t>
  </si>
  <si>
    <t>החזר מלווה עמ' הפסטיבל (1 מליון ₪)</t>
  </si>
  <si>
    <t>הוצאות שוטפות סגן ראש העיר</t>
  </si>
  <si>
    <t>הוצאות לפעולות נוער וצעירים</t>
  </si>
  <si>
    <t xml:space="preserve">כנפיים של קרמבו </t>
  </si>
  <si>
    <t xml:space="preserve">אריאל תנועת נוער ישראלית </t>
  </si>
  <si>
    <t xml:space="preserve">תנועת בני עקיבא בישראל </t>
  </si>
  <si>
    <t xml:space="preserve">רזרבה ארגוני נוער </t>
  </si>
  <si>
    <t xml:space="preserve">עמותת איגי </t>
  </si>
  <si>
    <t xml:space="preserve">ארגון נוער מגן דוד אדום </t>
  </si>
  <si>
    <t xml:space="preserve">   הוצאות רווחה </t>
  </si>
  <si>
    <t>הכנסות</t>
  </si>
  <si>
    <t>הוצאות</t>
  </si>
  <si>
    <t>עודף/גרעון</t>
  </si>
  <si>
    <t>נייר צילום</t>
  </si>
  <si>
    <t>ציוד משרדי</t>
  </si>
  <si>
    <t>ציוד משרדי ביה"ס השחר</t>
  </si>
  <si>
    <t>ציוד משרדי כרם גפנים</t>
  </si>
  <si>
    <t>ציוד משרדי היכל התרבות</t>
  </si>
  <si>
    <t>הוצאות חירום קורונה</t>
  </si>
  <si>
    <t>שיפוי ארנונה רשות המיסים סבב ב'</t>
  </si>
  <si>
    <t>הכנסות משרדי ממשלה קורונה</t>
  </si>
  <si>
    <t>סל תרבות</t>
  </si>
  <si>
    <t>הכנסות שרות התעסוקה+נגב גליל למרכז צעירים</t>
  </si>
  <si>
    <t>הכנסות ממשרדי ממשלה פסטיבל</t>
  </si>
  <si>
    <t>ציוד משרד ושכירות מדפסות</t>
  </si>
  <si>
    <t>פרסום בעיתון בשפה הרוסית</t>
  </si>
  <si>
    <t xml:space="preserve">מיחשוב מערכות  </t>
  </si>
  <si>
    <t>הוצאות וטרינריה כנגד קבלות-רכש</t>
  </si>
  <si>
    <t>רישוי עסקים</t>
  </si>
  <si>
    <t>הוצאות מינהל חינוך ומט"ב - ליווי חנ"מ</t>
  </si>
  <si>
    <t>ביה"ס כלנית קו"ק חומרי חיטוי</t>
  </si>
  <si>
    <t>ביה"ס עמיחי קו"ק חומרי חיטוי</t>
  </si>
  <si>
    <t>ביה"ס רקפת קו"ק חומרי חיטוי</t>
  </si>
  <si>
    <t>ביה"ס הרעות קו"ק חומרי חיטוי</t>
  </si>
  <si>
    <t>ביה"ס הדקל קו"ק חומרי חיטוי</t>
  </si>
  <si>
    <t>ביה"ס מוריה קו"ק חומרי חיטוי</t>
  </si>
  <si>
    <t>ביה"ס ניצנים קו"ק חומרי חיטוי</t>
  </si>
  <si>
    <t>ביה"ס אופק קו"ק חומרי חיטוי</t>
  </si>
  <si>
    <t>ביה"ס איריסים קו"ק חומרי חיטוי</t>
  </si>
  <si>
    <t>החזר מלווה עירייה ( 1.7 מליון ₪) שנלקח ע"י הפסטיבל</t>
  </si>
  <si>
    <t>מרכז צעירים פעולות כנגד הכנסות</t>
  </si>
  <si>
    <t>חומרי ניקוי ודמי שתיה - מרכז צעירים והון אנושי</t>
  </si>
  <si>
    <t>הוצ' שוטפות לשכת ראש העיר -רכש</t>
  </si>
  <si>
    <t>הוצאות שוטפות פיתוח דמוגרפי- רכש</t>
  </si>
  <si>
    <t>שוטף יחידה אסטרטגית -רכש</t>
  </si>
  <si>
    <t>הוצאות מבקר העירייה -רכש</t>
  </si>
  <si>
    <t>הוצאות שוטפות- מינהל כללי רכש</t>
  </si>
  <si>
    <t>מינהל פרויקטים -רכש</t>
  </si>
  <si>
    <t>חומרי נקיון בנין העיריה -רכש</t>
  </si>
  <si>
    <t>הוצ' שוטפות תגים מעטפות -רכש</t>
  </si>
  <si>
    <t>עובדי שב"ס - ארוחות עובדי שטח -רכש</t>
  </si>
  <si>
    <t>מתנות לפורשים -רכש</t>
  </si>
  <si>
    <t>הוצאות שוטפות משאבי אנוש- רכש</t>
  </si>
  <si>
    <t>הוצאות שוטפות - מינהל כספים</t>
  </si>
  <si>
    <t>הוצאות שוטפות מח' שכר -רכש</t>
  </si>
  <si>
    <t>הוצאות משרדיות מח' גביה -רכש</t>
  </si>
  <si>
    <t>הוצאות פינוי אשפה בא.תעשיה</t>
  </si>
  <si>
    <t>הכנסות מפינוי אשפה באזור התעשיה</t>
  </si>
  <si>
    <t>הוצאות שוטפות- מינהל תברואה- רכש</t>
  </si>
  <si>
    <t>הוצאות שוטפות רישוי עסקים-רכש</t>
  </si>
  <si>
    <t>פינוי אשפה וגזם-קבלנים פנים</t>
  </si>
  <si>
    <t>הוצאות דפוס גביה -רכש</t>
  </si>
  <si>
    <t>הוצאות דפוס אכיפה -רכש</t>
  </si>
  <si>
    <t>פינוי אשפה- קבלנים חוץ עירוני</t>
  </si>
  <si>
    <t>הוצאות שוטפות מחלקת בטחון-רכש</t>
  </si>
  <si>
    <t>חומרי נקיון מחלקת בטחון -רכש</t>
  </si>
  <si>
    <t>ביטוח מרכיבי התגוננות</t>
  </si>
  <si>
    <t>חשמל הג"א מקומי</t>
  </si>
  <si>
    <t>פרסום והדרכה הג"א מקומי</t>
  </si>
  <si>
    <t>הוצאות חזות עיר - גינון</t>
  </si>
  <si>
    <t>גנ"י חובה חומרי נקיון - רכש</t>
  </si>
  <si>
    <t>גנ"י חובה חומרי מלאכה -רכש</t>
  </si>
  <si>
    <t>גנ"י חובה חנ"מ חומרי מלאכה-רכש</t>
  </si>
  <si>
    <t>גנ"י חובה חנ"מ חומרי נקיון-רכש</t>
  </si>
  <si>
    <t>גני מועדון חומרי נקיון -רכש</t>
  </si>
  <si>
    <t>גני מועדון חומרי מלאכה -רכש</t>
  </si>
  <si>
    <t>גנ"י טרום חובה חנ"מ נקיון-רכש</t>
  </si>
  <si>
    <t>גנ"י ט.חובה חנ"מ חומרי מלאכה-רכש</t>
  </si>
  <si>
    <t>גנים עצמאיים נקיון -רכש</t>
  </si>
  <si>
    <t>תקציב העשרה קיטנות -רכש</t>
  </si>
  <si>
    <t>חומרי ניקיון קיטנות -רכש</t>
  </si>
  <si>
    <t>העשרה קיטנות גני מועדון -רכש</t>
  </si>
  <si>
    <t>גנים עצמאיים חומרי מלאכה -רכש</t>
  </si>
  <si>
    <t>גנ"י טרום חובה נקיון -רכש</t>
  </si>
  <si>
    <t>גנ"י טרום חובה חומרי מלאכה-רכש</t>
  </si>
  <si>
    <t>גנ"י חנ"מ מזון קשה -רכש</t>
  </si>
  <si>
    <t>דמי שתיה שנתיים לסייעות גנים-רכש</t>
  </si>
  <si>
    <t>השת' העיריה בתקציבי שוק עירוני</t>
  </si>
  <si>
    <t>הוצ' שוטף מועדונית ורד -רכש</t>
  </si>
  <si>
    <t>כיבוד מועדונית ורד -רכש</t>
  </si>
  <si>
    <t>חומרי ניקוי מועדונית ורד -רכש</t>
  </si>
  <si>
    <t>שוטף מועדונית ניצנים -רכש</t>
  </si>
  <si>
    <t>כיבוד מועדונית ניצנים -רכש</t>
  </si>
  <si>
    <t>חומרי ניקוי מועדונית ניצנים-רכש</t>
  </si>
  <si>
    <t>קופה קטנה מועדונית ניצנים-רכש</t>
  </si>
  <si>
    <t>קופה קטנה מועדונית ורד -רכש</t>
  </si>
  <si>
    <t>ביה"ס השחר חומרי ניקוי -רכש</t>
  </si>
  <si>
    <t>כיתות חנ"מ מזון קשה -רכש</t>
  </si>
  <si>
    <t>דמי שתיה חווה חקלאית -רכש</t>
  </si>
  <si>
    <t>כרם גפנים - הוצאות שונות-רכש</t>
  </si>
  <si>
    <t>הוצאות שוטפות שפ"י -רכש</t>
  </si>
  <si>
    <t>חומרי ניקוי שפ"י -רכש</t>
  </si>
  <si>
    <t>הוצאות שוטפות -ספריה  רכש</t>
  </si>
  <si>
    <t>הוצאות שוטפות-מינהל רווחה רכש</t>
  </si>
  <si>
    <t>השתתפות דמי חבר בשלטון המקומי</t>
  </si>
  <si>
    <t>השת' העירייה במילגות עירוניות</t>
  </si>
  <si>
    <t>תנועת הצופים העבריים בישראל</t>
  </si>
  <si>
    <t>הסתדרות הנוער העובד והלומד</t>
  </si>
  <si>
    <t>החזר הלוואה למתנ"ס 1265 אלש"ח</t>
  </si>
  <si>
    <t>ק.קטנה קידום נוער-רכש</t>
  </si>
  <si>
    <t>התנועה המסורתית נועם</t>
  </si>
  <si>
    <t>תמיכה בספורט - איחוד קבוצות</t>
  </si>
  <si>
    <t>משפחות במצוקה בקהילה</t>
  </si>
  <si>
    <t>550-993</t>
  </si>
  <si>
    <t>הוצאות משרדיות  הנה"ח -רכש</t>
  </si>
  <si>
    <t xml:space="preserve">אולם ארועים ברחוב צהל </t>
  </si>
  <si>
    <t xml:space="preserve">שוטף  מ"מ ראש העיר </t>
  </si>
  <si>
    <t xml:space="preserve">אשראי הלוואה ממוסד בנקאי </t>
  </si>
  <si>
    <t xml:space="preserve">דמי שימוש לאשכול, רכישות רכבים </t>
  </si>
  <si>
    <t>תנועות וארגוני נוער</t>
  </si>
  <si>
    <t xml:space="preserve">פעילות תרבות תורנית </t>
  </si>
  <si>
    <t>הכנסות משלטי חוצות</t>
  </si>
  <si>
    <t>העשרה מועדונית ורד</t>
  </si>
  <si>
    <t>העשרה מועדונית ניצנים</t>
  </si>
  <si>
    <t>החזר הלוואה הנגשת הבריכה</t>
  </si>
  <si>
    <t>תוכניות תמיכה בקהילה</t>
  </si>
  <si>
    <t>פ. קהילתי גאוגרפי</t>
  </si>
  <si>
    <t>עבודה קהילתית</t>
  </si>
  <si>
    <t>ביגוד לפקחים</t>
  </si>
  <si>
    <t>גרעין תורני</t>
  </si>
  <si>
    <t>ימי הפוגה לעובדים</t>
  </si>
  <si>
    <t>תוכ' אור למתנ"ס תק' מ.החינוך</t>
  </si>
  <si>
    <t>החזר הלוואה מתנס הנגשת בריכה</t>
  </si>
  <si>
    <t>הנחות ארנונה רישום מקביל</t>
  </si>
  <si>
    <t>מס' עמוד</t>
  </si>
  <si>
    <t>פירוט - לשונית</t>
  </si>
  <si>
    <t>מס'</t>
  </si>
  <si>
    <t>מס</t>
  </si>
  <si>
    <t>מס'י</t>
  </si>
  <si>
    <t xml:space="preserve">מס' </t>
  </si>
  <si>
    <t>1</t>
  </si>
  <si>
    <t>2</t>
  </si>
  <si>
    <t>3</t>
  </si>
  <si>
    <t>4</t>
  </si>
  <si>
    <t>12</t>
  </si>
  <si>
    <t>פרק</t>
  </si>
  <si>
    <t>נבחרים</t>
  </si>
  <si>
    <t>סה"כ פרק 61 נבחרים</t>
  </si>
  <si>
    <t>לשכת ראש העיר</t>
  </si>
  <si>
    <t>מבקר העירייה</t>
  </si>
  <si>
    <t>מינהל כללי</t>
  </si>
  <si>
    <t>הסברה ויחסי ציבור</t>
  </si>
  <si>
    <t>משאבי אנוש</t>
  </si>
  <si>
    <t>יעוץ משפטי</t>
  </si>
  <si>
    <t xml:space="preserve">סה"כ פרק 61 </t>
  </si>
  <si>
    <t>גזברות</t>
  </si>
  <si>
    <t>הנהלת חשבונות</t>
  </si>
  <si>
    <t>יחידת שכר</t>
  </si>
  <si>
    <t>גביה</t>
  </si>
  <si>
    <t>אכיפה ועסקים</t>
  </si>
  <si>
    <t xml:space="preserve">סה"כ פרק 62 </t>
  </si>
  <si>
    <t>מינהל איכות הסביבה</t>
  </si>
  <si>
    <t>טיאוט וניקוי</t>
  </si>
  <si>
    <t>איסוף וביעור אשפה</t>
  </si>
  <si>
    <t>תחנת מעבר</t>
  </si>
  <si>
    <t>שרות וטרינרי</t>
  </si>
  <si>
    <t>תברואה מונעת ריסוס</t>
  </si>
  <si>
    <t xml:space="preserve">סה"כ פרק 71 </t>
  </si>
  <si>
    <t>בטחון</t>
  </si>
  <si>
    <t xml:space="preserve">שיטור העירוני </t>
  </si>
  <si>
    <t xml:space="preserve">מוקד אזורי </t>
  </si>
  <si>
    <t>הג"א מקומי</t>
  </si>
  <si>
    <t xml:space="preserve">סה"כ פרק 72 </t>
  </si>
  <si>
    <t>מינהל הנדסה</t>
  </si>
  <si>
    <t>רישוי פיקוח ובניה</t>
  </si>
  <si>
    <t xml:space="preserve">סה"כ פרק 73 </t>
  </si>
  <si>
    <t>תשתיות ותחבורה</t>
  </si>
  <si>
    <t>תאורת רחובות</t>
  </si>
  <si>
    <t>גנים ונטיעות</t>
  </si>
  <si>
    <t>פארק הגליל</t>
  </si>
  <si>
    <t>פארק המשפחה</t>
  </si>
  <si>
    <t xml:space="preserve">סה"כ פרק 74 </t>
  </si>
  <si>
    <t>פסטיבל</t>
  </si>
  <si>
    <t xml:space="preserve">סה"כ פרק 75 </t>
  </si>
  <si>
    <t>מוקד עירוני</t>
  </si>
  <si>
    <t>תרבות דיור</t>
  </si>
  <si>
    <t xml:space="preserve">סה"כ פרק 76 </t>
  </si>
  <si>
    <t>פיקוח חוקי עזר</t>
  </si>
  <si>
    <t>רישוי וקידום עסקים</t>
  </si>
  <si>
    <t xml:space="preserve">סה"כ פרק 78 </t>
  </si>
  <si>
    <t xml:space="preserve">מינהל חינוך </t>
  </si>
  <si>
    <t xml:space="preserve">גני ילדים חובה </t>
  </si>
  <si>
    <t xml:space="preserve">סייעות סבב </t>
  </si>
  <si>
    <t xml:space="preserve">גני ילדים טרום חובה </t>
  </si>
  <si>
    <t>מדריכת בטיחות בדרכים גנ"י</t>
  </si>
  <si>
    <t xml:space="preserve">מועדוניות </t>
  </si>
  <si>
    <t xml:space="preserve">מחליפות בגנים </t>
  </si>
  <si>
    <t xml:space="preserve">סייעות רפואיות </t>
  </si>
  <si>
    <t xml:space="preserve">גן חינוך מיוחד קשה </t>
  </si>
  <si>
    <t xml:space="preserve">גן חינוך מיוחד קל ארוך </t>
  </si>
  <si>
    <t xml:space="preserve">בתי ספר </t>
  </si>
  <si>
    <t xml:space="preserve">מלוות בהסעות </t>
  </si>
  <si>
    <t xml:space="preserve">חינוך פדגוגי קל </t>
  </si>
  <si>
    <t xml:space="preserve">חינוך פדגוגי קשה </t>
  </si>
  <si>
    <t xml:space="preserve">סייעות צמודות </t>
  </si>
  <si>
    <t xml:space="preserve">קב"ט </t>
  </si>
  <si>
    <t xml:space="preserve">מרכזיה פדגוגית </t>
  </si>
  <si>
    <t xml:space="preserve">שרות פסיכולוגי </t>
  </si>
  <si>
    <t xml:space="preserve">קב"ס </t>
  </si>
  <si>
    <t xml:space="preserve">עיר ללא אלימות </t>
  </si>
  <si>
    <t xml:space="preserve">קידום נוער וקהילה </t>
  </si>
  <si>
    <t xml:space="preserve">מנהל יחידת נוער </t>
  </si>
  <si>
    <t xml:space="preserve">יחידת נוער </t>
  </si>
  <si>
    <t xml:space="preserve">סה"כ פרק 81 </t>
  </si>
  <si>
    <t xml:space="preserve">מינהל תרבות </t>
  </si>
  <si>
    <t xml:space="preserve">ספרייה </t>
  </si>
  <si>
    <t>שכר עובדי מרכז תרבות וספו</t>
  </si>
  <si>
    <t xml:space="preserve">קונסרבטוריון </t>
  </si>
  <si>
    <t xml:space="preserve">שכר אחזקת אולמות ספורט </t>
  </si>
  <si>
    <t xml:space="preserve">סה"כ פרק 82 </t>
  </si>
  <si>
    <t xml:space="preserve">סה"כ פרק 84 </t>
  </si>
  <si>
    <t xml:space="preserve">קליטה </t>
  </si>
  <si>
    <t xml:space="preserve">מרכז צעירים ומרכז דמוגרפי </t>
  </si>
  <si>
    <t xml:space="preserve">סה"כ פרק 86 </t>
  </si>
  <si>
    <t xml:space="preserve">שכר תאגיד המים </t>
  </si>
  <si>
    <t>סה"כ פרק 91</t>
  </si>
  <si>
    <t xml:space="preserve">מינהל נכסים ציבוריים </t>
  </si>
  <si>
    <t xml:space="preserve">נכסים ציבוריים </t>
  </si>
  <si>
    <t xml:space="preserve">משרדי הרשות </t>
  </si>
  <si>
    <t>סה"כ פרק 93</t>
  </si>
  <si>
    <t xml:space="preserve">רשות החניה </t>
  </si>
  <si>
    <t>סה"כ פרק 94</t>
  </si>
  <si>
    <t>סה"כ פרק 99</t>
  </si>
  <si>
    <t>סכום כולל</t>
  </si>
  <si>
    <t>ועדה לתכנון ובניה תב"ר רפורמה משרד הפנים</t>
  </si>
  <si>
    <t>תאגיד מים עובדים מושאלים</t>
  </si>
  <si>
    <t>רישיון עסק בנק הדואר</t>
  </si>
  <si>
    <t>מידע תכנוני מח' הנדסה</t>
  </si>
  <si>
    <t>השתתפות במועדוניות רווחה</t>
  </si>
  <si>
    <t>חנות חברתית רח' האילנות</t>
  </si>
  <si>
    <t>הכנסות משרדי ממשלה שונים</t>
  </si>
  <si>
    <t>ציוד ראשוני - יוח"א</t>
  </si>
  <si>
    <t>עוזרות יוח"א ומיל"ת</t>
  </si>
  <si>
    <t>חינוך תעבורתי</t>
  </si>
  <si>
    <t>חוק שילוב - סייעות</t>
  </si>
  <si>
    <t>ת. תקשוב - קיזוז רשויות</t>
  </si>
  <si>
    <t>מתי"א - שרתים</t>
  </si>
  <si>
    <t>מתי"א - מזכירים</t>
  </si>
  <si>
    <t>ה. נלוות ח. מיוחד - מוסד</t>
  </si>
  <si>
    <t>שירותי היקף - ח. מיוחד</t>
  </si>
  <si>
    <t>שרתים יום חינוך ארוך</t>
  </si>
  <si>
    <t>מזכירים יום חינוך ארוך</t>
  </si>
  <si>
    <t>שרתים חוות ומרכזים</t>
  </si>
  <si>
    <t>מזכירים - חוות ומרכזים</t>
  </si>
  <si>
    <t>ל. הסעות ח"מ צפון</t>
  </si>
  <si>
    <t>טיפול בנערות במגזר החרדי</t>
  </si>
  <si>
    <t>אכיפה מלגם</t>
  </si>
  <si>
    <t>רכזת גנים חופש גדול</t>
  </si>
  <si>
    <t>מיתר</t>
  </si>
  <si>
    <t>מועדונים לילדים ולבוגר</t>
  </si>
  <si>
    <t>מרכזי יום לנכים קשים</t>
  </si>
  <si>
    <t>פרויקטים לנגמלים</t>
  </si>
  <si>
    <t>שכ"ד קליטה</t>
  </si>
  <si>
    <t>מחלקה</t>
  </si>
  <si>
    <t>תקופה</t>
  </si>
  <si>
    <t>חלקיות משרה</t>
  </si>
  <si>
    <t>סיכום כללי</t>
  </si>
  <si>
    <t>עובדים למחלקה</t>
  </si>
  <si>
    <t>611000 סה"כ</t>
  </si>
  <si>
    <t>שלי אטיאס</t>
  </si>
  <si>
    <t>611200 סה"כ</t>
  </si>
  <si>
    <t>612000 סה"כ</t>
  </si>
  <si>
    <t>613000 סה"כ</t>
  </si>
  <si>
    <t>613300 סה"כ</t>
  </si>
  <si>
    <t>614000 סה"כ</t>
  </si>
  <si>
    <t>615000 סה"כ</t>
  </si>
  <si>
    <t>617000 סה"כ</t>
  </si>
  <si>
    <t>621100 סה"כ</t>
  </si>
  <si>
    <t>דניאלה</t>
  </si>
  <si>
    <t>621300 סה"כ</t>
  </si>
  <si>
    <t>621500 סה"כ</t>
  </si>
  <si>
    <t>623100 סה"כ</t>
  </si>
  <si>
    <t>623200 סה"כ</t>
  </si>
  <si>
    <t>711000 סה"כ</t>
  </si>
  <si>
    <t>712100 סה"כ</t>
  </si>
  <si>
    <t>712200 סה"כ</t>
  </si>
  <si>
    <t>712300 סה"כ</t>
  </si>
  <si>
    <t>712400 סה"כ</t>
  </si>
  <si>
    <t>714000 סה"כ</t>
  </si>
  <si>
    <t>715000 סה"כ</t>
  </si>
  <si>
    <t>721000 סה"כ</t>
  </si>
  <si>
    <t>721100 סה"כ</t>
  </si>
  <si>
    <t>721200 סה"כ</t>
  </si>
  <si>
    <t>מיכה מגן ואביחי נבון</t>
  </si>
  <si>
    <t>723000 סה"כ</t>
  </si>
  <si>
    <t>731000 סה"כ</t>
  </si>
  <si>
    <t>733000 סה"כ</t>
  </si>
  <si>
    <t>741000 סה"כ</t>
  </si>
  <si>
    <t>743000 סה"כ</t>
  </si>
  <si>
    <t>ש.נ.</t>
  </si>
  <si>
    <t>746000 סה"כ</t>
  </si>
  <si>
    <t>746100 סה"כ</t>
  </si>
  <si>
    <t>746200 סה"כ</t>
  </si>
  <si>
    <t>761000 סה"כ</t>
  </si>
  <si>
    <t>764000 סה"כ</t>
  </si>
  <si>
    <t>770000 סה"כ</t>
  </si>
  <si>
    <t>772000 סה"כ</t>
  </si>
  <si>
    <t>781000 סה"כ</t>
  </si>
  <si>
    <t>781100 סה"כ</t>
  </si>
  <si>
    <t>811000 סה"כ</t>
  </si>
  <si>
    <t>812200 סה"כ</t>
  </si>
  <si>
    <t>812210 סה"כ</t>
  </si>
  <si>
    <t>812300 סה"כ</t>
  </si>
  <si>
    <t>812310 סה"כ</t>
  </si>
  <si>
    <t>812400 סה"כ</t>
  </si>
  <si>
    <t>812510 סה"כ</t>
  </si>
  <si>
    <t>812520 סה"כ</t>
  </si>
  <si>
    <t>812600 סה"כ</t>
  </si>
  <si>
    <t>812700 סה"כ</t>
  </si>
  <si>
    <t>812800 סה"כ</t>
  </si>
  <si>
    <t>812900 סה"כ</t>
  </si>
  <si>
    <t>813210 סה"כ</t>
  </si>
  <si>
    <t>813211 סה"כ</t>
  </si>
  <si>
    <t>813212 סה"כ</t>
  </si>
  <si>
    <t>813213 סה"כ</t>
  </si>
  <si>
    <t>813214 סה"כ</t>
  </si>
  <si>
    <t>813215 סה"כ</t>
  </si>
  <si>
    <t>813216 סה"כ</t>
  </si>
  <si>
    <t>813217 סה"כ</t>
  </si>
  <si>
    <t>813218 סה"כ</t>
  </si>
  <si>
    <t>813219 סה"כ</t>
  </si>
  <si>
    <t>813220 סה"כ</t>
  </si>
  <si>
    <t>813221 סה"כ</t>
  </si>
  <si>
    <t>813222 סה"כ</t>
  </si>
  <si>
    <t>813223 סה"כ</t>
  </si>
  <si>
    <t>813224 סה"כ</t>
  </si>
  <si>
    <t>813225 סה"כ</t>
  </si>
  <si>
    <t>813226 סה"כ</t>
  </si>
  <si>
    <t>813300 סה"כ</t>
  </si>
  <si>
    <t>813400 סה"כ</t>
  </si>
  <si>
    <t>813500 סה"כ</t>
  </si>
  <si>
    <t>813600 סה"כ</t>
  </si>
  <si>
    <t>813700 סה"כ</t>
  </si>
  <si>
    <t>817100 סה"כ</t>
  </si>
  <si>
    <t>817200 סה"כ</t>
  </si>
  <si>
    <t>817300 סה"כ</t>
  </si>
  <si>
    <t>817700 סה"כ</t>
  </si>
  <si>
    <t>817710 סה"כ</t>
  </si>
  <si>
    <t>817900 סה"כ</t>
  </si>
  <si>
    <t>817910 סה"כ</t>
  </si>
  <si>
    <t>817911 סה"כ</t>
  </si>
  <si>
    <t>817912 סה"כ</t>
  </si>
  <si>
    <t>821000 סה"כ</t>
  </si>
  <si>
    <t>823000 סה"כ</t>
  </si>
  <si>
    <t>824000 סה"כ</t>
  </si>
  <si>
    <t>825000 סה"כ</t>
  </si>
  <si>
    <t>829200 סה"כ</t>
  </si>
  <si>
    <t>841000 סה"כ</t>
  </si>
  <si>
    <t>869000 סה"כ</t>
  </si>
  <si>
    <t>869100 סה"כ</t>
  </si>
  <si>
    <t>879000 סה"כ</t>
  </si>
  <si>
    <t>914000 סה"כ</t>
  </si>
  <si>
    <t>931000 סה"כ</t>
  </si>
  <si>
    <t>931100 סה"כ</t>
  </si>
  <si>
    <t>938000 סה"כ</t>
  </si>
  <si>
    <t>943000 סה"כ</t>
  </si>
  <si>
    <t>נסגר</t>
  </si>
  <si>
    <t>כל העלויות הועברו ל721200</t>
  </si>
  <si>
    <t>981100 סה"כ</t>
  </si>
  <si>
    <t>999000 סה"כ</t>
  </si>
  <si>
    <t xml:space="preserve">סה"כ פרק 77 </t>
  </si>
  <si>
    <t>הכנסות חניה מטרופולינט</t>
  </si>
  <si>
    <t>מנוי חניונים</t>
  </si>
  <si>
    <t>שכר אישורי תושב</t>
  </si>
  <si>
    <t>מינהל שרותי ניקיון</t>
  </si>
  <si>
    <t>שכר האב</t>
  </si>
  <si>
    <t>שכר נוער בסיכון</t>
  </si>
  <si>
    <t>שכר איכות הסביבה</t>
  </si>
  <si>
    <t>חשמל ומים איריסים</t>
  </si>
  <si>
    <t>פינוי אשפה ביתית</t>
  </si>
  <si>
    <t>ועדת ערר חברי ועדה</t>
  </si>
  <si>
    <t>מעונות חסות</t>
  </si>
  <si>
    <t>טיפול באזרח ותיק בסיכון</t>
  </si>
  <si>
    <t>מגן זהב הפגת בדידות</t>
  </si>
  <si>
    <t>תוכניות לנגמלים</t>
  </si>
  <si>
    <t>מקדמה על הוצאות עודפות</t>
  </si>
  <si>
    <t>משרות</t>
  </si>
  <si>
    <t xml:space="preserve">סייעת שניה והעשרה </t>
  </si>
  <si>
    <t xml:space="preserve">העשרה ח. מיוחד - גני ילדים </t>
  </si>
  <si>
    <t xml:space="preserve">הזנה יוח"א בבתי ספר </t>
  </si>
  <si>
    <t xml:space="preserve">הכנסות הזנה מוסדות חינוך גנ"י </t>
  </si>
  <si>
    <t xml:space="preserve">הערות </t>
  </si>
  <si>
    <t xml:space="preserve">אגרת תלמידי חוץ תשלום מרשויות </t>
  </si>
  <si>
    <t xml:space="preserve">אגרת חינוך-תשלומי הורים ( ביטוח תלמידים) </t>
  </si>
  <si>
    <t>בטחון עובדים - מאבטחים</t>
  </si>
  <si>
    <t>רכזי מענים מגן זהב</t>
  </si>
  <si>
    <t>טיפול בפרט ובמשפחה</t>
  </si>
  <si>
    <t>בני משפחה מטפלים</t>
  </si>
  <si>
    <t>תוכנית תעסוקה</t>
  </si>
  <si>
    <t>ת. לאומית ילד ונוער</t>
  </si>
  <si>
    <t>נפגעי התמכרויות</t>
  </si>
  <si>
    <t>התמכרויות חוץ ביתי</t>
  </si>
  <si>
    <t>תוכניות טיפול בעולים</t>
  </si>
  <si>
    <t>בטחון עובדים מאבטחים</t>
  </si>
  <si>
    <t>טיפול אובדן שכול</t>
  </si>
  <si>
    <t>מופ"ת ניצולי שואה</t>
  </si>
  <si>
    <t>תוכניות תעסוקה</t>
  </si>
  <si>
    <t>תוכניות לילד החריג</t>
  </si>
  <si>
    <t>תוכניות קהילתיות</t>
  </si>
  <si>
    <t xml:space="preserve">מים הג"א </t>
  </si>
  <si>
    <t xml:space="preserve">פינת חי מוצרי ניקיון </t>
  </si>
  <si>
    <t xml:space="preserve">הוצאות שוטפות בתי ספר מנהל חינוך </t>
  </si>
  <si>
    <t xml:space="preserve">קופה קטנה מחלקת נכסים </t>
  </si>
  <si>
    <t xml:space="preserve">צהרוני גנים הנחות רווחה ( תשלום למתנ"ס) </t>
  </si>
  <si>
    <t>סל העשרה מלגות למשפחות נזקקות (תשלום למתנ"ס)</t>
  </si>
  <si>
    <t>צהרוני גנים סבסוד עירייה ( תשלום למתנ"ס)</t>
  </si>
  <si>
    <t>אגף ספורט אחזקת אולמות (תשלום למתנ"ס )</t>
  </si>
  <si>
    <t>חומרי ניקוי ובדק בית ושוטף קונסרבטוריון</t>
  </si>
  <si>
    <t xml:space="preserve">מקהלת נופר כנגד תשלומי משרד החינוך </t>
  </si>
  <si>
    <t>ימי מוסיקה כנגד הפקדות (הופעות)</t>
  </si>
  <si>
    <t xml:space="preserve">קופה קטנה מרכז צעירים  </t>
  </si>
  <si>
    <t xml:space="preserve">הוצאות קורס בודקי תוכנה מרכז צעירים </t>
  </si>
  <si>
    <t>הוצאות הזנה חינוך מיוחד (כרם גפנים ומועדוניות )</t>
  </si>
  <si>
    <t xml:space="preserve">חיוב בגין תלמידי חוץ ח"מ ע"י משרד החינוך </t>
  </si>
  <si>
    <t>מזון קשה קייטנות</t>
  </si>
  <si>
    <t xml:space="preserve">תשלום לאשכול נהגים פינוי אשפה </t>
  </si>
  <si>
    <t xml:space="preserve">הזנה יוח"א בי"ס קיזוז משרד החינוך </t>
  </si>
  <si>
    <t xml:space="preserve">ליווי הסעות רווחה </t>
  </si>
  <si>
    <t xml:space="preserve">פיתוח כלכלי-תעשיה </t>
  </si>
  <si>
    <t xml:space="preserve">ציוד משרדי קליקה </t>
  </si>
  <si>
    <t xml:space="preserve">תשלום למתנס השתתפות עירייה </t>
  </si>
  <si>
    <t>חומרי ניקוי האב</t>
  </si>
  <si>
    <t>ק.ק האב</t>
  </si>
  <si>
    <t>הרצאות האב</t>
  </si>
  <si>
    <t xml:space="preserve">מחסן חרום רשותי </t>
  </si>
  <si>
    <t xml:space="preserve">אחזקת נגררים </t>
  </si>
  <si>
    <t xml:space="preserve">רכש אמצעים לחרום </t>
  </si>
  <si>
    <t xml:space="preserve">מערכת שליטה ובקרה לחרום </t>
  </si>
  <si>
    <t xml:space="preserve">ביטוח מרכיבי התגוננות </t>
  </si>
  <si>
    <t>בדיקה תקופתית מערכת איוורור וסינון</t>
  </si>
  <si>
    <t xml:space="preserve">קייטנות משרד החינוך  בבי"ס </t>
  </si>
  <si>
    <t>דמי שימוש מכונת טיאוט בינונית+טיאוט גדולה + משאית טמוני קרקע</t>
  </si>
  <si>
    <t xml:space="preserve">הסעות נט כרטיסיות </t>
  </si>
  <si>
    <t xml:space="preserve">תמיכות עמותות סיוע ועזרה  </t>
  </si>
  <si>
    <t xml:space="preserve">החזר הלוואה חכ"ל דיור מוגן </t>
  </si>
  <si>
    <t xml:space="preserve">תקן גננות ע. מדינה - רישום מקביל </t>
  </si>
  <si>
    <t>הסתדרות השומר הצעיר בישראל</t>
  </si>
  <si>
    <t xml:space="preserve">הכנסות שכ"ד קליקה </t>
  </si>
  <si>
    <t xml:space="preserve">הג"א ארצי והג"א מקומי טבלה מרכזת </t>
  </si>
  <si>
    <t xml:space="preserve">הנחות ארנונה רישום מקביל </t>
  </si>
  <si>
    <t>הכנסות -</t>
  </si>
  <si>
    <t>הוצאות:</t>
  </si>
  <si>
    <t>ביטוחים</t>
  </si>
  <si>
    <t>שכ"ד</t>
  </si>
  <si>
    <t>אירוח משלחות</t>
  </si>
  <si>
    <t>הוצאות ספרים עירוניים</t>
  </si>
  <si>
    <t>16</t>
  </si>
  <si>
    <t>20</t>
  </si>
  <si>
    <t>21</t>
  </si>
  <si>
    <t>הוצאות -</t>
  </si>
  <si>
    <t xml:space="preserve">הכנסות חינוך - </t>
  </si>
  <si>
    <t>הכנסות תרבות -</t>
  </si>
  <si>
    <t>הכנסות רווחה -</t>
  </si>
  <si>
    <t>הוצאות שכר -</t>
  </si>
  <si>
    <t>הוצאות רווחה -</t>
  </si>
  <si>
    <t>קליקה -</t>
  </si>
  <si>
    <t>חשמל ומים -</t>
  </si>
  <si>
    <t>דלקים ושמנים -</t>
  </si>
  <si>
    <t xml:space="preserve">ליסינג - </t>
  </si>
  <si>
    <t>הוצאות פעילות שוטפת (780) -</t>
  </si>
  <si>
    <t>הוצאות פעילות שוטפת (782) -</t>
  </si>
  <si>
    <t>תמיכות -</t>
  </si>
  <si>
    <t>18</t>
  </si>
  <si>
    <t>19</t>
  </si>
  <si>
    <t>הוצאות תיקוני רכב</t>
  </si>
  <si>
    <t>22</t>
  </si>
  <si>
    <t xml:space="preserve">הוצאות רישוי ובטוח לרכבים </t>
  </si>
  <si>
    <t>הוצאות תקשורת, פרסום, מיחשוב ומערכות ליבה, מים וגינון</t>
  </si>
  <si>
    <t>הוצאות ריבית ועמלות, מלוות</t>
  </si>
  <si>
    <t>פנסיה ופיצויים</t>
  </si>
  <si>
    <t xml:space="preserve">פעילות חרדית </t>
  </si>
  <si>
    <t xml:space="preserve">שרותי תרבות וספורט-מתנס כולל 2 שלוחות חדשות </t>
  </si>
  <si>
    <t xml:space="preserve">היגיינה וח. ניקוי חווה חקלאית </t>
  </si>
  <si>
    <t xml:space="preserve">עובדי מנהלת תרבות תשלום להיכל </t>
  </si>
  <si>
    <t xml:space="preserve">הוצאות ועדה מקומית </t>
  </si>
  <si>
    <t>ראה עמוד-1</t>
  </si>
  <si>
    <t>קופה קטנה שמירה ביטחונית</t>
  </si>
  <si>
    <t>קופה קטנה תחנת מעבר</t>
  </si>
  <si>
    <t xml:space="preserve">ק.קטנה מח' תשתיות </t>
  </si>
  <si>
    <t xml:space="preserve">ק.ק חווה חקלאית </t>
  </si>
  <si>
    <t xml:space="preserve">שוטף חווה חקלאית </t>
  </si>
  <si>
    <t>הוצאות מרפ"ד - פיסג"ה</t>
  </si>
  <si>
    <t>הוצאות מרפ"ד - מתי"א</t>
  </si>
  <si>
    <t>מתי"א כנגד הכנ' מ.חינוך</t>
  </si>
  <si>
    <t>ק.ק. אירועים עירוניים</t>
  </si>
  <si>
    <t>עבודות קבלניות הדברה</t>
  </si>
  <si>
    <t>מרכז שירות לתושב</t>
  </si>
  <si>
    <t>שוטף יד לבנים</t>
  </si>
  <si>
    <t>דמי שימוש שנתיים לאשכול בית הכרם ורכישת רכבים</t>
  </si>
  <si>
    <t>רכישת רכב ראש העיר</t>
  </si>
  <si>
    <t>חומרי ניקוי ספריה (כולל קומת קבסים)-רכש</t>
  </si>
  <si>
    <t>קליקה שוטף</t>
  </si>
  <si>
    <t>סה"כ הג"א מקומי</t>
  </si>
  <si>
    <t>כ"א אחזקת מקלטים</t>
  </si>
  <si>
    <t>עבודות קבלניות, פיתוח כלכלי, השתת' ותרומות, הסעות תלמידים</t>
  </si>
  <si>
    <t>הג"א</t>
  </si>
  <si>
    <t>מיחשוב ועדה מקומית (בר טכנ')</t>
  </si>
  <si>
    <t>קופה קטנה סגנית ראש העיר</t>
  </si>
  <si>
    <t>הכנסות תקורה א.ע לביוב</t>
  </si>
  <si>
    <t>הג"א חירום</t>
  </si>
  <si>
    <t xml:space="preserve">ציוד משרדי משא"ז </t>
  </si>
  <si>
    <t>ציוד משרדי מח' הספורט</t>
  </si>
  <si>
    <t>ציוד משרדי קליקה</t>
  </si>
  <si>
    <t>תלמידי חוץ ח"מ</t>
  </si>
  <si>
    <t>קופה קטנה האב</t>
  </si>
  <si>
    <t xml:space="preserve">הוצאות חנות חברתית רווחה כנגד הפקדות </t>
  </si>
  <si>
    <t xml:space="preserve">הוצאות שונות מנהל כללי </t>
  </si>
  <si>
    <t>נאמני קורונה</t>
  </si>
  <si>
    <t>פדגוגיות שעתיות</t>
  </si>
  <si>
    <t xml:space="preserve">תחזוקה מועדוניים קהילתיים </t>
  </si>
  <si>
    <t xml:space="preserve">הכנסות מפיקוח וטרינרי בשווקים </t>
  </si>
  <si>
    <t>הצעה 2023</t>
  </si>
  <si>
    <t>ביצוע 1-6/2022</t>
  </si>
  <si>
    <t>תקציב 2022 מעודכן (מס 2)</t>
  </si>
  <si>
    <t>תקציב 2022 מעודכן (מס 1)</t>
  </si>
  <si>
    <t xml:space="preserve">השתת' הממשלה לג.ילדים חובה </t>
  </si>
  <si>
    <t>השת' הממשלה לג.ילדים ט.חובה</t>
  </si>
  <si>
    <t>השתת' הממשלה לבת"ס יסודיים כולל ביה"ס וגנ"י לחופש גדול</t>
  </si>
  <si>
    <t xml:space="preserve">השתת' הממשלה לקב"טים </t>
  </si>
  <si>
    <t>אבטחת מוס' חינוך משטרת ישראל</t>
  </si>
  <si>
    <t>השתת' הורים-ג.ילדים ט.חובה</t>
  </si>
  <si>
    <t>גני מועדון-גביה על ידי מתנ"ס מ9.2020</t>
  </si>
  <si>
    <t>ביצוע 2020 (דוחות)</t>
  </si>
  <si>
    <t>ביצוע 2021 (דוחות)</t>
  </si>
  <si>
    <t>הוצאות שכר</t>
  </si>
  <si>
    <t>הוצאות רישוי ובטוח לרכבי עירייה שאינם בליסינג</t>
  </si>
  <si>
    <t>הוצאות מיחשוב, מערכות ליבה הנה"ח, גביה ושכר</t>
  </si>
  <si>
    <t xml:space="preserve">השתתפות עירייה קליקה (תשלום למתנ"ס) </t>
  </si>
  <si>
    <t>קישורים</t>
  </si>
  <si>
    <t>אחזקת נגררים (ביטוח)</t>
  </si>
  <si>
    <t>חשמל ומים בתי ספר</t>
  </si>
  <si>
    <t>דלק ושמנים מרכז ברוך</t>
  </si>
  <si>
    <t xml:space="preserve">שכירות ליסינג חינוך נוער  </t>
  </si>
  <si>
    <t>רווח והפסד מנ"ע כולל שיערוך</t>
  </si>
  <si>
    <t>מסגרות חינוך בחופשה</t>
  </si>
  <si>
    <t>430+771</t>
  </si>
  <si>
    <t>פיתוח כלכלי האב</t>
  </si>
  <si>
    <t>ניהול ותפעול קייטנות גנים</t>
  </si>
  <si>
    <t>ארגון נוער אור ישראלי</t>
  </si>
  <si>
    <t>קיטנות השתתפות מ.חינוך</t>
  </si>
  <si>
    <t>צמצום פערים</t>
  </si>
  <si>
    <t>העשרה ח.מיוחד - מוסד</t>
  </si>
  <si>
    <t>חופשות לאוטיסטים</t>
  </si>
  <si>
    <t>שרתים ומזכירים חפץ חיים</t>
  </si>
  <si>
    <t>סיעות כית.בי"ס חריגות</t>
  </si>
  <si>
    <t xml:space="preserve">סייעות כיתתיות </t>
  </si>
  <si>
    <t>סייעות רפואיות</t>
  </si>
  <si>
    <t>חליפת מיגון</t>
  </si>
  <si>
    <t>ועדת תסקירים</t>
  </si>
  <si>
    <t>טיפול בזקנים בסיכון</t>
  </si>
  <si>
    <t>חסידי אומות העולם</t>
  </si>
  <si>
    <t>מועדונים תוכ.העשרה</t>
  </si>
  <si>
    <t>מ.יום טיפולי-עולים</t>
  </si>
  <si>
    <t>ס.במעונות-מש"ה עולים</t>
  </si>
  <si>
    <t>הכנסות מהסדרי פנסיה</t>
  </si>
  <si>
    <t>החזרי צהרונים מ.תמ"ת</t>
  </si>
  <si>
    <t>סייעת לילד חולה בבית</t>
  </si>
  <si>
    <t>שרתים ומזכירים</t>
  </si>
  <si>
    <t>תוכניות קהילה למשפחות</t>
  </si>
  <si>
    <t>הזדקנות מיטבית קהילה</t>
  </si>
  <si>
    <t>מרכז יום ותעסוקה לב</t>
  </si>
  <si>
    <t>נערות חוץ ביתי</t>
  </si>
  <si>
    <t>הכנסות משכ"ע עובדים מושאלים</t>
  </si>
  <si>
    <t>עמלות אכיפה מילגם</t>
  </si>
  <si>
    <t>תיקונים הדברה</t>
  </si>
  <si>
    <t>צמצום פערים קורונה</t>
  </si>
  <si>
    <t>אגרות תלמידי חוץ</t>
  </si>
  <si>
    <t>תרבות יהודית כנגד הכנ' מ.ממשלה</t>
  </si>
  <si>
    <t>הוצאות תמלול חוק הנגשה רווחה</t>
  </si>
  <si>
    <t>הצט' מועדוני נוער כנגד הפקדות</t>
  </si>
  <si>
    <t>פורום נשים כרמיאל-משגב</t>
  </si>
  <si>
    <t xml:space="preserve">חינוך על יסודי -חשמל הורביץ </t>
  </si>
  <si>
    <t>חינוך מיוחד- ניצן</t>
  </si>
  <si>
    <t>חליפות מיגון</t>
  </si>
  <si>
    <t>טיפול במשפחות חירום אוקרינה</t>
  </si>
  <si>
    <t>וועדת תסקירים</t>
  </si>
  <si>
    <t>כיבוד האב</t>
  </si>
  <si>
    <t>5</t>
  </si>
  <si>
    <t>8</t>
  </si>
  <si>
    <t>13</t>
  </si>
  <si>
    <t>הוצאות קידום נוער כנגד הכנסות משרד החינוך</t>
  </si>
  <si>
    <t>הוצאות שוטפות גזברות</t>
  </si>
  <si>
    <t>קייטנות משרד החינוך גנ"י</t>
  </si>
  <si>
    <t>ק.ק קידום ומדיה דיגיטלית</t>
  </si>
  <si>
    <t>השת' רשויות בהפעלת פיקוד העורף</t>
  </si>
  <si>
    <t>משאית חשמלית זעירה</t>
  </si>
  <si>
    <t>מעונות חסות ממשלתיים</t>
  </si>
  <si>
    <t>מועדונים לבוגרים עם אוטיזם</t>
  </si>
  <si>
    <t>מועדונים לבוגרים עם אוטוזם</t>
  </si>
  <si>
    <t>טיפול במשפחות חירום-אוקרינה</t>
  </si>
  <si>
    <t>תוכניות מעבר</t>
  </si>
  <si>
    <t>הוצאות קבלניות לגינון שטחי העיר (מכרז משכ"ל)</t>
  </si>
  <si>
    <t>הוצאות אגף ספורט עירוני כנגד הכנסות משרדי ממשלה</t>
  </si>
  <si>
    <t xml:space="preserve">הוצאות נכסים, ועדי בתים </t>
  </si>
  <si>
    <t>דמי שתיה עובדי חוץ בגינון</t>
  </si>
  <si>
    <t>ק.ק. מינהלת רובעים - גינון</t>
  </si>
  <si>
    <t>השתתפות עירייה מרכז צעירים (תשלום שכר למתנ"ס)</t>
  </si>
  <si>
    <t>ק.ק אחזקה</t>
  </si>
  <si>
    <t>תרבות יהודית הכנ' ממשלה ועצמיות</t>
  </si>
  <si>
    <t>שוטף האב</t>
  </si>
  <si>
    <t>הכנסות מדמי שירות במטווח</t>
  </si>
  <si>
    <t>עיר הילדים והנוער כנגד מ.החינוך</t>
  </si>
  <si>
    <t>יתד תכניות צעירים</t>
  </si>
  <si>
    <t>לסגור לפי דוח הקצבה</t>
  </si>
  <si>
    <t xml:space="preserve">חשמל ומים מוסדות </t>
  </si>
  <si>
    <t>הוצאות ביטוחים צד ג' וחבויות עפ"י התפלגות פרמיה והשתתפות עצמית</t>
  </si>
  <si>
    <t>קליקה - ריכוז הוצאות והכנסות</t>
  </si>
  <si>
    <t>סה"כ הג"א מקומי וארצי</t>
  </si>
  <si>
    <t xml:space="preserve">הכנסות עצמיות ממרכז צעירים </t>
  </si>
  <si>
    <t>הכנסות מהופעות קונסרבטוריון</t>
  </si>
  <si>
    <t>הכנסות ממשלה תרבות (כללית)</t>
  </si>
  <si>
    <t>סה"כ כולל</t>
  </si>
  <si>
    <t>הכ' מהפקדות הצט' מועדוני נוער</t>
  </si>
  <si>
    <t>עיר הילדים והנוער הכ' מ. החינוך</t>
  </si>
  <si>
    <t>עב' קבלניות לכידת בעלי חיים</t>
  </si>
  <si>
    <t>פיתוח כלכלי (מבקר העירייה)</t>
  </si>
  <si>
    <t>לבטל סעיף</t>
  </si>
  <si>
    <t>הכנסות מאנטנות כולל פוטו וולטאים שלב א'</t>
  </si>
  <si>
    <t>מנהלי רובע</t>
  </si>
  <si>
    <t>הכנ' חש' אנט' פוטו וולט שלב ב'</t>
  </si>
  <si>
    <t>אחזקת נגררים</t>
  </si>
  <si>
    <t>300-320</t>
  </si>
  <si>
    <t>דלק ושמנים קליטה</t>
  </si>
  <si>
    <t>מבוטל</t>
  </si>
  <si>
    <t>להעביר יתרות ולבטל. כפילות עם סעיף 1812293782</t>
  </si>
  <si>
    <t xml:space="preserve">הוצאות בית ספר  </t>
  </si>
  <si>
    <t>לבטל</t>
  </si>
  <si>
    <t>תקציב כפול- לבטל 23</t>
  </si>
  <si>
    <t>סל רשותי גפ"ן</t>
  </si>
  <si>
    <t>סל מוסדי גפ"ן השתתפות רשות</t>
  </si>
  <si>
    <t>אחזקת בי"ס יסודיים (חשמל ומים ניהול עצמי)</t>
  </si>
  <si>
    <t>השת' עירייה חווידע (תשלום למתנס)</t>
  </si>
  <si>
    <t>פינוי וקליטת פסולת גושית</t>
  </si>
  <si>
    <t>הזנה גנ"י חובה קיזוז משרד החינוך</t>
  </si>
  <si>
    <t>הועבר לסעיף 1312500920, לבטל סעיף</t>
  </si>
  <si>
    <t>מבוטל, מועבר לסעיף 1313200924</t>
  </si>
  <si>
    <t>תוספת סייעת יוח"א גנים</t>
  </si>
  <si>
    <t>לבטל סעיף הוצאות (קיזוז)</t>
  </si>
  <si>
    <t>לבטל, הועבר לסעיף 1313700420</t>
  </si>
  <si>
    <t>לבטל, הועבר לסעיף 1312211920</t>
  </si>
  <si>
    <t xml:space="preserve">לבטל </t>
  </si>
  <si>
    <t xml:space="preserve">גני מועדון וצהרונים (משרד הכלכלה) </t>
  </si>
  <si>
    <t>להעביר להוצאות גנ"י ולבטל</t>
  </si>
  <si>
    <t>להעביר לקייטנות ולבטל</t>
  </si>
  <si>
    <t>להעביר להוצאות בי"ס ולבטל</t>
  </si>
  <si>
    <t xml:space="preserve">פרסומים מינהל כללי </t>
  </si>
  <si>
    <t>שכירות ליסינג ספורט</t>
  </si>
  <si>
    <t>שכירות ליסינג קליטה</t>
  </si>
  <si>
    <t>הוצאות שוטפות מח' קציני ביקור סדיר</t>
  </si>
  <si>
    <t>לצרף לתקציב סעיף אחר</t>
  </si>
  <si>
    <t>נפגעי התמכרויות טיפול בקהילה</t>
  </si>
  <si>
    <t>הוצאות שוטפות גביה</t>
  </si>
  <si>
    <t>הוצאות שוטפות אכיפה</t>
  </si>
  <si>
    <t>קופה קטנה תברואה</t>
  </si>
  <si>
    <t xml:space="preserve">עבר לסעיף </t>
  </si>
  <si>
    <t xml:space="preserve">ת.תקשוב - קיזוז רשויות </t>
  </si>
  <si>
    <t>ת.תקשוב - קיזוז רשויות</t>
  </si>
  <si>
    <t>פנסיה</t>
  </si>
  <si>
    <t>פנסיונרים</t>
  </si>
  <si>
    <t>קרן לרווחת גמלאים</t>
  </si>
  <si>
    <t>פנסיה רצף זכויות</t>
  </si>
  <si>
    <t>סיכום סעיפי 110</t>
  </si>
  <si>
    <t>סה"כ פרק 999 סעיפים 300-320</t>
  </si>
  <si>
    <t xml:space="preserve">לבטל סעיף  </t>
  </si>
  <si>
    <t>מעודכן 2022</t>
  </si>
  <si>
    <t>סה"כ כללי</t>
  </si>
  <si>
    <t>סה"כ הוצאות שכר כולל פנסיונרים</t>
  </si>
  <si>
    <t>סה"כ הוצאות שכר כולל פנסיונרים בניכוי מעבר לתברים וקרנות</t>
  </si>
  <si>
    <t>תנועת בנות בית יעקב - בנות בתיה</t>
  </si>
  <si>
    <t>השת' למתנס צעירים בעלי מוגבלויות (מתנס)</t>
  </si>
  <si>
    <t>הוצאות קבלניות לטיאוט רחובות (מכרז משכ"ל שלג לבן+ אשכול בית הכרם)</t>
  </si>
  <si>
    <t>סל מוסדי גפ"ן</t>
  </si>
  <si>
    <t>הוצאות סל ספורט כנגד הכנסות עצמיות</t>
  </si>
  <si>
    <t>בחירות לרשויות מקומיות</t>
  </si>
  <si>
    <t>החזר מזכירים קלפיות</t>
  </si>
  <si>
    <t>פעולות כנגד הכנסות ממשרדי ממשלה מרכז צעירים</t>
  </si>
  <si>
    <t xml:space="preserve">מס' חשבון </t>
  </si>
  <si>
    <t xml:space="preserve">הוצאות אכיפה משפטית </t>
  </si>
  <si>
    <t>פארק המשפחה (כולל ג'ימבורי)</t>
  </si>
  <si>
    <t>הוצאות פארק הגליל</t>
  </si>
  <si>
    <t>וטרינר לפינת החי</t>
  </si>
  <si>
    <t>הכנסות מפארקים</t>
  </si>
  <si>
    <t>הוצ' כנגד הכנ' פעילות הדרכה</t>
  </si>
  <si>
    <t>הכנסות פעילות הדרכה בפארקים</t>
  </si>
  <si>
    <t>הכנסות עצמיות תרבות תורנית</t>
  </si>
  <si>
    <t>קופה קטנה ילדים ונוער בסיכון</t>
  </si>
  <si>
    <t>תקציב 1 2023</t>
  </si>
  <si>
    <t xml:space="preserve">תקציב מעודכן 2023 </t>
  </si>
  <si>
    <r>
      <t>עדכון תקציב 2023 -</t>
    </r>
    <r>
      <rPr>
        <b/>
        <u/>
        <sz val="18"/>
        <rFont val="Arial"/>
        <family val="2"/>
        <scheme val="minor"/>
      </rPr>
      <t xml:space="preserve"> הכנסות</t>
    </r>
    <r>
      <rPr>
        <b/>
        <u/>
        <sz val="18"/>
        <color theme="1"/>
        <rFont val="Arial"/>
        <family val="2"/>
        <scheme val="minor"/>
      </rPr>
      <t xml:space="preserve"> </t>
    </r>
  </si>
  <si>
    <t xml:space="preserve">תקציב 2022 </t>
  </si>
  <si>
    <t>תקציב 1 יחסי 2023 (ינואר)</t>
  </si>
  <si>
    <t>ביצוע יחסי 2023 (ינואר)</t>
  </si>
  <si>
    <t>הצעה תקציב 2 2023</t>
  </si>
  <si>
    <r>
      <t xml:space="preserve">עדכון תקציב 2023 - </t>
    </r>
    <r>
      <rPr>
        <b/>
        <u/>
        <sz val="18"/>
        <rFont val="Arial"/>
        <family val="2"/>
        <scheme val="minor"/>
      </rPr>
      <t>הוצאות</t>
    </r>
    <r>
      <rPr>
        <b/>
        <u/>
        <sz val="18"/>
        <color theme="1"/>
        <rFont val="Arial"/>
        <family val="2"/>
        <scheme val="minor"/>
      </rPr>
      <t xml:space="preserve"> </t>
    </r>
  </si>
  <si>
    <t>אחזקת ושיפוץ מקלטים - הג"א</t>
  </si>
  <si>
    <t xml:space="preserve">אחזקת מרכזי הפעלה לרשות </t>
  </si>
  <si>
    <t xml:space="preserve">גננות טרום חובה </t>
  </si>
  <si>
    <t>הסעות נכים לתעסוקה</t>
  </si>
  <si>
    <t>מיחשוב יועץ משפטי (בר טכנ')</t>
  </si>
  <si>
    <t>ביצוע יחסי ינואר 2023</t>
  </si>
  <si>
    <t>תקציב יחסי ינואר 2023</t>
  </si>
  <si>
    <t>רישוי וביטוח</t>
  </si>
  <si>
    <t>הזנת ילדים חינוך מיוחד רווחה</t>
  </si>
  <si>
    <t>ת. לאומית תוכניות כ"א</t>
  </si>
  <si>
    <t>תכנית לאומית תכנית ייחודית- כ"א</t>
  </si>
  <si>
    <t>תיקונים משאיות פינוי אשפה</t>
  </si>
  <si>
    <t>רזרבות</t>
  </si>
  <si>
    <t>הוצאות לשעת חירום</t>
  </si>
  <si>
    <t>הוצאות עודפות</t>
  </si>
  <si>
    <t>הוצאות בגין שנים קודמות</t>
  </si>
  <si>
    <t>הוצאות שנים קודמות</t>
  </si>
  <si>
    <t>תקציב 2 2023</t>
  </si>
  <si>
    <t>החזרי צהרים מ.תמ"ת</t>
  </si>
  <si>
    <t xml:space="preserve">פעילות העשרה כרם גפנים כנגד הכנסות מ.החינוך </t>
  </si>
  <si>
    <t>אגרות תלמידי חוץ - קיזוז מ.החינוך</t>
  </si>
  <si>
    <t>הכנסות כלליות חינוך</t>
  </si>
  <si>
    <t>הוצאות טלפון ודואר</t>
  </si>
  <si>
    <t>הוצאות אחרות- לשכת ראש העיר</t>
  </si>
  <si>
    <t>שוק איכרים</t>
  </si>
  <si>
    <t>קופה קטנה רישוי עסקים</t>
  </si>
  <si>
    <t>הכנסות עצמיות שוק איכרים</t>
  </si>
  <si>
    <t xml:space="preserve">ראה עמוד-8 </t>
  </si>
  <si>
    <t>שיטור עירוני מועבר לקרן היטל שמירה בניכוי מעבר לקרן שמירה</t>
  </si>
  <si>
    <t xml:space="preserve">הוצאות וטרינריה </t>
  </si>
  <si>
    <t>קולות קוראים כנגד הכנסה מ. החינוך</t>
  </si>
  <si>
    <t>הכנסות מקולות קוראים חינוך</t>
  </si>
  <si>
    <t>ביה"ס אמי"ת (תקציב במסגרת סעיף על יסודי)</t>
  </si>
  <si>
    <t xml:space="preserve">ביה"ס השחר </t>
  </si>
  <si>
    <t>הוצאות מרכז ברוך- חומרי ניקוי</t>
  </si>
  <si>
    <t xml:space="preserve">קופה קטנה מתי"א </t>
  </si>
  <si>
    <t>ראה עמוד 6</t>
  </si>
  <si>
    <t>ראה עמוד 19</t>
  </si>
  <si>
    <t>ראה עמוד 14</t>
  </si>
  <si>
    <t>ראה עמוד 7</t>
  </si>
  <si>
    <t>ראה עמוד-11</t>
  </si>
  <si>
    <t>ראה עמוד-7</t>
  </si>
  <si>
    <t>ראה עמוד 13</t>
  </si>
  <si>
    <t>ראה עמוד 12</t>
  </si>
  <si>
    <t>ראה עמוד 20</t>
  </si>
  <si>
    <t>ראה עמוד 21</t>
  </si>
  <si>
    <t>ראה עמוד 18</t>
  </si>
  <si>
    <t>ראה עמוד -10</t>
  </si>
  <si>
    <t>השתתפות פסולת ממוחזת (תמיר)</t>
  </si>
  <si>
    <t>ראה עמוד-10</t>
  </si>
  <si>
    <t>ראה עמוד 15</t>
  </si>
  <si>
    <t>ראה עמוד 16</t>
  </si>
  <si>
    <t>ראה עמוד 17</t>
  </si>
  <si>
    <t>ניקיון קליקה</t>
  </si>
  <si>
    <t>וועדת ערר טיפול משפטי</t>
  </si>
  <si>
    <t xml:space="preserve">ק.ק. נכסים </t>
  </si>
  <si>
    <t>\</t>
  </si>
  <si>
    <t>24</t>
  </si>
  <si>
    <t>25</t>
  </si>
  <si>
    <t>26</t>
  </si>
  <si>
    <t>27-28</t>
  </si>
  <si>
    <t>33</t>
  </si>
  <si>
    <t>29-30</t>
  </si>
  <si>
    <t>31-32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</si>
</sst>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₪&quot;\ #,##0;&quot;₪&quot;\ \-#,##0"/>
    <numFmt numFmtId="43" formatCode="_ * #,##0.00_ ;_ * \-#,##0.00_ ;_ * &quot;-&quot;??_ ;_ @_ "/>
    <numFmt numFmtId="164" formatCode="_ * #,##0_ ;_ * \-#,##0_ ;_ * &quot;-&quot;??_ ;_ @_ "/>
    <numFmt numFmtId="165" formatCode="#0"/>
    <numFmt numFmtId="166" formatCode="#,##0_ ;\-#,##0\ "/>
  </numFmts>
  <fonts count="6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9"/>
      <color rgb="FFFF0000"/>
      <name val="Tahoma"/>
      <family val="2"/>
    </font>
    <font>
      <sz val="9"/>
      <color rgb="FFFF0000"/>
      <name val="Tahoma"/>
      <family val="2"/>
    </font>
    <font>
      <sz val="9"/>
      <color theme="1"/>
      <name val="Tahoma"/>
      <family val="2"/>
    </font>
    <font>
      <b/>
      <i/>
      <u/>
      <sz val="16"/>
      <color theme="8" tint="-0.499984740745262"/>
      <name val="Arial"/>
      <family val="2"/>
      <scheme val="minor"/>
    </font>
    <font>
      <b/>
      <sz val="14"/>
      <color theme="8" tint="-0.499984740745262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2"/>
      <color theme="8" tint="-0.499984740745262"/>
      <name val="Arial"/>
      <family val="2"/>
      <scheme val="minor"/>
    </font>
    <font>
      <sz val="10.5"/>
      <color theme="1"/>
      <name val="Arial"/>
      <family val="2"/>
      <scheme val="minor"/>
    </font>
    <font>
      <sz val="10.5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u/>
      <sz val="11"/>
      <color theme="8" tint="-0.499984740745262"/>
      <name val="Arial"/>
      <family val="2"/>
      <scheme val="minor"/>
    </font>
    <font>
      <b/>
      <sz val="18"/>
      <color theme="8" tint="-0.499984740745262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u/>
      <sz val="18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u/>
      <sz val="18"/>
      <name val="Arial"/>
      <family val="2"/>
      <scheme val="minor"/>
    </font>
    <font>
      <sz val="10.5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color theme="1"/>
      <name val="Arial"/>
      <family val="2"/>
    </font>
    <font>
      <b/>
      <u/>
      <sz val="11"/>
      <name val="Arial"/>
      <family val="2"/>
      <scheme val="minor"/>
    </font>
    <font>
      <sz val="12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465">
    <xf numFmtId="0" fontId="0" fillId="0" borderId="0" xfId="0"/>
    <xf numFmtId="4" fontId="0" fillId="0" borderId="0" xfId="0" applyNumberFormat="1"/>
    <xf numFmtId="0" fontId="18" fillId="33" borderId="10" xfId="0" applyFont="1" applyFill="1" applyBorder="1"/>
    <xf numFmtId="0" fontId="0" fillId="0" borderId="10" xfId="0" applyBorder="1"/>
    <xf numFmtId="0" fontId="0" fillId="0" borderId="0" xfId="0" applyAlignment="1">
      <alignment horizontal="center"/>
    </xf>
    <xf numFmtId="0" fontId="22" fillId="0" borderId="0" xfId="0" applyFont="1"/>
    <xf numFmtId="0" fontId="25" fillId="0" borderId="0" xfId="0" applyFont="1"/>
    <xf numFmtId="0" fontId="22" fillId="34" borderId="0" xfId="0" applyFont="1" applyFill="1" applyAlignment="1">
      <alignment horizontal="center" vertical="center"/>
    </xf>
    <xf numFmtId="0" fontId="0" fillId="34" borderId="10" xfId="0" applyFill="1" applyBorder="1"/>
    <xf numFmtId="0" fontId="21" fillId="34" borderId="0" xfId="0" applyFont="1" applyFill="1" applyAlignment="1">
      <alignment horizontal="center"/>
    </xf>
    <xf numFmtId="9" fontId="21" fillId="34" borderId="0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/>
    <xf numFmtId="0" fontId="23" fillId="0" borderId="0" xfId="0" applyFont="1"/>
    <xf numFmtId="0" fontId="22" fillId="34" borderId="0" xfId="0" applyFont="1" applyFill="1"/>
    <xf numFmtId="0" fontId="21" fillId="34" borderId="16" xfId="0" applyFont="1" applyFill="1" applyBorder="1"/>
    <xf numFmtId="0" fontId="0" fillId="34" borderId="0" xfId="0" applyFill="1"/>
    <xf numFmtId="0" fontId="22" fillId="34" borderId="0" xfId="0" applyFont="1" applyFill="1" applyAlignment="1">
      <alignment horizontal="center"/>
    </xf>
    <xf numFmtId="0" fontId="0" fillId="0" borderId="10" xfId="0" applyBorder="1" applyAlignment="1">
      <alignment wrapText="1"/>
    </xf>
    <xf numFmtId="0" fontId="0" fillId="0" borderId="14" xfId="0" applyBorder="1"/>
    <xf numFmtId="0" fontId="20" fillId="3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0" fillId="0" borderId="0" xfId="0" applyAlignment="1">
      <alignment wrapText="1"/>
    </xf>
    <xf numFmtId="0" fontId="0" fillId="34" borderId="10" xfId="0" applyFill="1" applyBorder="1" applyAlignment="1">
      <alignment wrapText="1"/>
    </xf>
    <xf numFmtId="0" fontId="0" fillId="0" borderId="10" xfId="0" applyBorder="1" applyAlignment="1">
      <alignment horizontal="right"/>
    </xf>
    <xf numFmtId="0" fontId="14" fillId="0" borderId="0" xfId="0" applyFont="1"/>
    <xf numFmtId="0" fontId="0" fillId="34" borderId="0" xfId="0" applyFill="1" applyAlignment="1">
      <alignment wrapText="1"/>
    </xf>
    <xf numFmtId="3" fontId="0" fillId="0" borderId="10" xfId="0" applyNumberFormat="1" applyBorder="1"/>
    <xf numFmtId="49" fontId="28" fillId="0" borderId="0" xfId="0" applyNumberFormat="1" applyFont="1"/>
    <xf numFmtId="1" fontId="0" fillId="0" borderId="0" xfId="0" applyNumberFormat="1"/>
    <xf numFmtId="1" fontId="0" fillId="0" borderId="10" xfId="0" applyNumberFormat="1" applyBorder="1"/>
    <xf numFmtId="0" fontId="20" fillId="0" borderId="0" xfId="0" applyFont="1"/>
    <xf numFmtId="0" fontId="0" fillId="34" borderId="14" xfId="0" applyFill="1" applyBorder="1"/>
    <xf numFmtId="0" fontId="0" fillId="0" borderId="19" xfId="0" applyBorder="1"/>
    <xf numFmtId="0" fontId="0" fillId="36" borderId="0" xfId="0" applyFill="1"/>
    <xf numFmtId="0" fontId="0" fillId="0" borderId="13" xfId="0" applyBorder="1"/>
    <xf numFmtId="1" fontId="21" fillId="38" borderId="10" xfId="0" applyNumberFormat="1" applyFont="1" applyFill="1" applyBorder="1" applyAlignment="1">
      <alignment horizontal="center"/>
    </xf>
    <xf numFmtId="0" fontId="25" fillId="0" borderId="10" xfId="0" applyFont="1" applyBorder="1"/>
    <xf numFmtId="0" fontId="25" fillId="34" borderId="10" xfId="0" applyFont="1" applyFill="1" applyBorder="1"/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165" fontId="35" fillId="0" borderId="0" xfId="0" applyNumberFormat="1" applyFont="1"/>
    <xf numFmtId="4" fontId="35" fillId="0" borderId="0" xfId="0" applyNumberFormat="1" applyFont="1"/>
    <xf numFmtId="3" fontId="35" fillId="0" borderId="0" xfId="0" applyNumberFormat="1" applyFont="1"/>
    <xf numFmtId="165" fontId="36" fillId="0" borderId="0" xfId="0" applyNumberFormat="1" applyFont="1"/>
    <xf numFmtId="4" fontId="36" fillId="0" borderId="0" xfId="0" applyNumberFormat="1" applyFont="1"/>
    <xf numFmtId="0" fontId="37" fillId="0" borderId="0" xfId="0" applyFont="1"/>
    <xf numFmtId="165" fontId="35" fillId="34" borderId="0" xfId="0" applyNumberFormat="1" applyFont="1" applyFill="1"/>
    <xf numFmtId="165" fontId="35" fillId="35" borderId="0" xfId="0" applyNumberFormat="1" applyFont="1" applyFill="1"/>
    <xf numFmtId="4" fontId="35" fillId="35" borderId="0" xfId="0" applyNumberFormat="1" applyFont="1" applyFill="1"/>
    <xf numFmtId="3" fontId="35" fillId="35" borderId="0" xfId="0" applyNumberFormat="1" applyFont="1" applyFill="1"/>
    <xf numFmtId="0" fontId="35" fillId="35" borderId="0" xfId="0" applyFont="1" applyFill="1"/>
    <xf numFmtId="0" fontId="38" fillId="35" borderId="0" xfId="0" applyFont="1" applyFill="1"/>
    <xf numFmtId="0" fontId="39" fillId="35" borderId="0" xfId="0" applyFont="1" applyFill="1"/>
    <xf numFmtId="0" fontId="40" fillId="0" borderId="0" xfId="0" applyFont="1"/>
    <xf numFmtId="165" fontId="36" fillId="35" borderId="0" xfId="0" applyNumberFormat="1" applyFont="1" applyFill="1"/>
    <xf numFmtId="4" fontId="36" fillId="35" borderId="0" xfId="0" applyNumberFormat="1" applyFont="1" applyFill="1"/>
    <xf numFmtId="164" fontId="14" fillId="0" borderId="0" xfId="1" applyNumberFormat="1" applyFont="1"/>
    <xf numFmtId="0" fontId="25" fillId="34" borderId="11" xfId="0" applyFont="1" applyFill="1" applyBorder="1" applyAlignment="1">
      <alignment wrapText="1"/>
    </xf>
    <xf numFmtId="0" fontId="0" fillId="34" borderId="10" xfId="0" applyFill="1" applyBorder="1" applyAlignment="1">
      <alignment horizontal="right"/>
    </xf>
    <xf numFmtId="3" fontId="0" fillId="34" borderId="10" xfId="0" applyNumberFormat="1" applyFill="1" applyBorder="1" applyAlignment="1">
      <alignment horizontal="right"/>
    </xf>
    <xf numFmtId="1" fontId="25" fillId="0" borderId="10" xfId="0" applyNumberFormat="1" applyFont="1" applyBorder="1" applyAlignment="1">
      <alignment horizontal="right"/>
    </xf>
    <xf numFmtId="1" fontId="0" fillId="34" borderId="1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43" fontId="34" fillId="35" borderId="0" xfId="1" applyFont="1" applyFill="1"/>
    <xf numFmtId="43" fontId="35" fillId="35" borderId="0" xfId="1" applyFont="1" applyFill="1"/>
    <xf numFmtId="43" fontId="39" fillId="35" borderId="0" xfId="1" applyFont="1" applyFill="1"/>
    <xf numFmtId="4" fontId="35" fillId="39" borderId="0" xfId="0" applyNumberFormat="1" applyFont="1" applyFill="1"/>
    <xf numFmtId="164" fontId="0" fillId="0" borderId="10" xfId="1" applyNumberFormat="1" applyFont="1" applyBorder="1" applyAlignment="1">
      <alignment horizontal="right"/>
    </xf>
    <xf numFmtId="0" fontId="21" fillId="0" borderId="0" xfId="0" applyFont="1" applyAlignment="1">
      <alignment wrapText="1"/>
    </xf>
    <xf numFmtId="1" fontId="0" fillId="0" borderId="10" xfId="0" applyNumberFormat="1" applyBorder="1" applyAlignment="1">
      <alignment horizontal="right"/>
    </xf>
    <xf numFmtId="0" fontId="21" fillId="38" borderId="10" xfId="0" applyFont="1" applyFill="1" applyBorder="1"/>
    <xf numFmtId="0" fontId="0" fillId="38" borderId="10" xfId="0" applyFill="1" applyBorder="1"/>
    <xf numFmtId="0" fontId="21" fillId="38" borderId="14" xfId="0" applyFont="1" applyFill="1" applyBorder="1"/>
    <xf numFmtId="0" fontId="21" fillId="38" borderId="10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 wrapText="1"/>
    </xf>
    <xf numFmtId="0" fontId="41" fillId="0" borderId="0" xfId="0" applyFont="1"/>
    <xf numFmtId="0" fontId="42" fillId="38" borderId="10" xfId="0" applyFont="1" applyFill="1" applyBorder="1" applyAlignment="1">
      <alignment horizontal="right" readingOrder="2"/>
    </xf>
    <xf numFmtId="0" fontId="42" fillId="38" borderId="10" xfId="0" applyFont="1" applyFill="1" applyBorder="1" applyAlignment="1">
      <alignment horizontal="right"/>
    </xf>
    <xf numFmtId="0" fontId="43" fillId="0" borderId="0" xfId="0" applyFont="1"/>
    <xf numFmtId="0" fontId="44" fillId="0" borderId="10" xfId="0" applyFont="1" applyBorder="1"/>
    <xf numFmtId="49" fontId="44" fillId="0" borderId="10" xfId="0" applyNumberFormat="1" applyFont="1" applyBorder="1" applyAlignment="1">
      <alignment horizontal="right" readingOrder="2"/>
    </xf>
    <xf numFmtId="49" fontId="44" fillId="0" borderId="10" xfId="0" applyNumberFormat="1" applyFont="1" applyBorder="1" applyAlignment="1">
      <alignment horizontal="right"/>
    </xf>
    <xf numFmtId="49" fontId="45" fillId="0" borderId="10" xfId="0" applyNumberFormat="1" applyFont="1" applyBorder="1" applyAlignment="1">
      <alignment horizontal="right" readingOrder="2"/>
    </xf>
    <xf numFmtId="49" fontId="43" fillId="0" borderId="0" xfId="0" applyNumberFormat="1" applyFont="1" applyAlignment="1">
      <alignment horizontal="right" readingOrder="2"/>
    </xf>
    <xf numFmtId="49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 readingOrder="2"/>
    </xf>
    <xf numFmtId="0" fontId="43" fillId="0" borderId="0" xfId="0" applyFont="1" applyAlignment="1">
      <alignment horizontal="right"/>
    </xf>
    <xf numFmtId="49" fontId="44" fillId="0" borderId="10" xfId="0" applyNumberFormat="1" applyFont="1" applyBorder="1" applyAlignment="1">
      <alignment horizontal="right" wrapText="1" readingOrder="2"/>
    </xf>
    <xf numFmtId="0" fontId="46" fillId="0" borderId="10" xfId="0" applyFont="1" applyBorder="1"/>
    <xf numFmtId="0" fontId="46" fillId="0" borderId="0" xfId="0" applyFont="1"/>
    <xf numFmtId="4" fontId="46" fillId="0" borderId="0" xfId="0" applyNumberFormat="1" applyFont="1"/>
    <xf numFmtId="1" fontId="46" fillId="0" borderId="10" xfId="0" applyNumberFormat="1" applyFont="1" applyBorder="1" applyAlignment="1">
      <alignment horizontal="center"/>
    </xf>
    <xf numFmtId="0" fontId="47" fillId="0" borderId="0" xfId="0" applyFont="1"/>
    <xf numFmtId="0" fontId="47" fillId="0" borderId="10" xfId="0" applyFont="1" applyBorder="1"/>
    <xf numFmtId="4" fontId="47" fillId="0" borderId="0" xfId="0" applyNumberFormat="1" applyFont="1"/>
    <xf numFmtId="1" fontId="0" fillId="0" borderId="10" xfId="1" applyNumberFormat="1" applyFont="1" applyBorder="1" applyAlignment="1">
      <alignment horizontal="right"/>
    </xf>
    <xf numFmtId="0" fontId="0" fillId="0" borderId="10" xfId="0" applyBorder="1" applyAlignment="1">
      <alignment horizontal="right" wrapText="1"/>
    </xf>
    <xf numFmtId="1" fontId="0" fillId="0" borderId="10" xfId="2" applyNumberFormat="1" applyFont="1" applyBorder="1" applyAlignment="1">
      <alignment horizontal="right"/>
    </xf>
    <xf numFmtId="3" fontId="18" fillId="38" borderId="10" xfId="0" applyNumberFormat="1" applyFont="1" applyFill="1" applyBorder="1" applyAlignment="1">
      <alignment horizontal="right"/>
    </xf>
    <xf numFmtId="1" fontId="0" fillId="34" borderId="10" xfId="2" applyNumberFormat="1" applyFont="1" applyFill="1" applyBorder="1" applyAlignment="1">
      <alignment horizontal="right"/>
    </xf>
    <xf numFmtId="3" fontId="21" fillId="38" borderId="10" xfId="0" applyNumberFormat="1" applyFont="1" applyFill="1" applyBorder="1" applyAlignment="1">
      <alignment horizontal="right"/>
    </xf>
    <xf numFmtId="0" fontId="21" fillId="38" borderId="10" xfId="0" applyFont="1" applyFill="1" applyBorder="1" applyAlignment="1">
      <alignment horizontal="right"/>
    </xf>
    <xf numFmtId="1" fontId="21" fillId="38" borderId="10" xfId="0" applyNumberFormat="1" applyFont="1" applyFill="1" applyBorder="1" applyAlignment="1">
      <alignment horizontal="right"/>
    </xf>
    <xf numFmtId="164" fontId="21" fillId="38" borderId="10" xfId="1" applyNumberFormat="1" applyFont="1" applyFill="1" applyBorder="1" applyAlignment="1">
      <alignment horizontal="right"/>
    </xf>
    <xf numFmtId="1" fontId="21" fillId="38" borderId="10" xfId="2" applyNumberFormat="1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1" fontId="0" fillId="34" borderId="10" xfId="1" applyNumberFormat="1" applyFont="1" applyFill="1" applyBorder="1" applyAlignment="1">
      <alignment horizontal="right"/>
    </xf>
    <xf numFmtId="2" fontId="0" fillId="0" borderId="0" xfId="0" applyNumberFormat="1"/>
    <xf numFmtId="0" fontId="30" fillId="0" borderId="10" xfId="0" applyFont="1" applyBorder="1"/>
    <xf numFmtId="0" fontId="21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0" fillId="0" borderId="11" xfId="0" applyBorder="1"/>
    <xf numFmtId="1" fontId="0" fillId="0" borderId="10" xfId="2" applyNumberFormat="1" applyFont="1" applyFill="1" applyBorder="1" applyAlignment="1">
      <alignment horizontal="right"/>
    </xf>
    <xf numFmtId="0" fontId="21" fillId="38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/>
    </xf>
    <xf numFmtId="14" fontId="50" fillId="0" borderId="0" xfId="0" applyNumberFormat="1" applyFont="1" applyAlignment="1">
      <alignment vertical="center"/>
    </xf>
    <xf numFmtId="0" fontId="21" fillId="0" borderId="10" xfId="0" applyFont="1" applyBorder="1" applyAlignment="1">
      <alignment vertical="center"/>
    </xf>
    <xf numFmtId="0" fontId="51" fillId="0" borderId="10" xfId="46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3" fontId="51" fillId="0" borderId="10" xfId="46" applyNumberFormat="1" applyFont="1" applyFill="1" applyBorder="1" applyAlignment="1">
      <alignment horizontal="center" vertical="center"/>
    </xf>
    <xf numFmtId="1" fontId="51" fillId="0" borderId="10" xfId="46" applyNumberFormat="1" applyFont="1" applyFill="1" applyBorder="1" applyAlignment="1">
      <alignment horizontal="center" vertical="center"/>
    </xf>
    <xf numFmtId="164" fontId="32" fillId="38" borderId="10" xfId="0" applyNumberFormat="1" applyFont="1" applyFill="1" applyBorder="1" applyAlignment="1">
      <alignment horizontal="center" vertical="center"/>
    </xf>
    <xf numFmtId="164" fontId="24" fillId="38" borderId="10" xfId="0" applyNumberFormat="1" applyFont="1" applyFill="1" applyBorder="1" applyAlignment="1">
      <alignment horizontal="center" vertical="center"/>
    </xf>
    <xf numFmtId="164" fontId="52" fillId="38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7" xfId="0" applyBorder="1"/>
    <xf numFmtId="0" fontId="0" fillId="35" borderId="10" xfId="0" applyFill="1" applyBorder="1" applyAlignment="1">
      <alignment wrapText="1"/>
    </xf>
    <xf numFmtId="1" fontId="0" fillId="0" borderId="10" xfId="1" applyNumberFormat="1" applyFont="1" applyFill="1" applyBorder="1" applyAlignment="1">
      <alignment horizontal="right"/>
    </xf>
    <xf numFmtId="0" fontId="55" fillId="0" borderId="0" xfId="0" applyFont="1"/>
    <xf numFmtId="164" fontId="21" fillId="38" borderId="10" xfId="1" applyNumberFormat="1" applyFont="1" applyFill="1" applyBorder="1" applyAlignment="1">
      <alignment horizontal="center" wrapText="1"/>
    </xf>
    <xf numFmtId="1" fontId="0" fillId="0" borderId="10" xfId="0" applyNumberFormat="1" applyBorder="1" applyAlignment="1">
      <alignment horizontal="right" vertical="center"/>
    </xf>
    <xf numFmtId="166" fontId="25" fillId="34" borderId="10" xfId="1" applyNumberFormat="1" applyFont="1" applyFill="1" applyBorder="1" applyAlignment="1"/>
    <xf numFmtId="166" fontId="0" fillId="0" borderId="10" xfId="1" applyNumberFormat="1" applyFont="1" applyBorder="1" applyAlignment="1">
      <alignment horizontal="right"/>
    </xf>
    <xf numFmtId="166" fontId="0" fillId="34" borderId="10" xfId="1" applyNumberFormat="1" applyFont="1" applyFill="1" applyBorder="1" applyAlignment="1">
      <alignment horizontal="right"/>
    </xf>
    <xf numFmtId="1" fontId="46" fillId="34" borderId="10" xfId="0" applyNumberFormat="1" applyFont="1" applyFill="1" applyBorder="1"/>
    <xf numFmtId="1" fontId="46" fillId="34" borderId="10" xfId="0" applyNumberFormat="1" applyFont="1" applyFill="1" applyBorder="1" applyAlignment="1">
      <alignment horizontal="center"/>
    </xf>
    <xf numFmtId="1" fontId="46" fillId="0" borderId="10" xfId="0" applyNumberFormat="1" applyFont="1" applyBorder="1"/>
    <xf numFmtId="4" fontId="0" fillId="0" borderId="0" xfId="0" applyNumberFormat="1" applyAlignment="1">
      <alignment vertical="center"/>
    </xf>
    <xf numFmtId="164" fontId="14" fillId="0" borderId="0" xfId="1" applyNumberFormat="1" applyFont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56" fillId="38" borderId="10" xfId="0" applyNumberFormat="1" applyFont="1" applyFill="1" applyBorder="1" applyAlignment="1">
      <alignment horizontal="right"/>
    </xf>
    <xf numFmtId="1" fontId="56" fillId="0" borderId="0" xfId="0" applyNumberFormat="1" applyFont="1" applyAlignment="1">
      <alignment horizontal="right"/>
    </xf>
    <xf numFmtId="0" fontId="30" fillId="0" borderId="10" xfId="0" applyFont="1" applyBorder="1" applyAlignment="1">
      <alignment horizontal="right"/>
    </xf>
    <xf numFmtId="0" fontId="0" fillId="41" borderId="10" xfId="0" applyFill="1" applyBorder="1"/>
    <xf numFmtId="164" fontId="21" fillId="38" borderId="10" xfId="1" applyNumberFormat="1" applyFont="1" applyFill="1" applyBorder="1" applyAlignment="1">
      <alignment horizontal="center" vertical="center"/>
    </xf>
    <xf numFmtId="164" fontId="21" fillId="38" borderId="10" xfId="1" applyNumberFormat="1" applyFont="1" applyFill="1" applyBorder="1" applyAlignment="1">
      <alignment horizontal="center"/>
    </xf>
    <xf numFmtId="0" fontId="0" fillId="41" borderId="14" xfId="0" applyFill="1" applyBorder="1"/>
    <xf numFmtId="0" fontId="2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1" fontId="18" fillId="38" borderId="10" xfId="0" applyNumberFormat="1" applyFont="1" applyFill="1" applyBorder="1" applyAlignment="1">
      <alignment horizontal="center" vertical="center" wrapText="1"/>
    </xf>
    <xf numFmtId="1" fontId="26" fillId="38" borderId="10" xfId="0" applyNumberFormat="1" applyFont="1" applyFill="1" applyBorder="1" applyAlignment="1">
      <alignment horizontal="center" vertical="center"/>
    </xf>
    <xf numFmtId="1" fontId="26" fillId="38" borderId="10" xfId="0" applyNumberFormat="1" applyFont="1" applyFill="1" applyBorder="1" applyAlignment="1">
      <alignment horizontal="right" vertical="center"/>
    </xf>
    <xf numFmtId="164" fontId="21" fillId="38" borderId="10" xfId="0" applyNumberFormat="1" applyFont="1" applyFill="1" applyBorder="1" applyAlignment="1">
      <alignment horizontal="center" wrapText="1"/>
    </xf>
    <xf numFmtId="1" fontId="18" fillId="38" borderId="10" xfId="0" applyNumberFormat="1" applyFont="1" applyFill="1" applyBorder="1" applyAlignment="1">
      <alignment horizontal="center" vertical="center"/>
    </xf>
    <xf numFmtId="1" fontId="0" fillId="34" borderId="10" xfId="0" applyNumberFormat="1" applyFill="1" applyBorder="1"/>
    <xf numFmtId="1" fontId="0" fillId="38" borderId="10" xfId="0" applyNumberFormat="1" applyFill="1" applyBorder="1"/>
    <xf numFmtId="1" fontId="0" fillId="0" borderId="10" xfId="0" applyNumberFormat="1" applyBorder="1" applyAlignment="1">
      <alignment horizontal="right" vertical="center" wrapText="1"/>
    </xf>
    <xf numFmtId="1" fontId="0" fillId="0" borderId="10" xfId="1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 wrapText="1"/>
    </xf>
    <xf numFmtId="164" fontId="0" fillId="0" borderId="10" xfId="1" applyNumberFormat="1" applyFont="1" applyFill="1" applyBorder="1" applyAlignment="1">
      <alignment horizontal="right"/>
    </xf>
    <xf numFmtId="166" fontId="0" fillId="0" borderId="10" xfId="1" applyNumberFormat="1" applyFont="1" applyFill="1" applyBorder="1" applyAlignment="1">
      <alignment horizontal="right"/>
    </xf>
    <xf numFmtId="166" fontId="0" fillId="0" borderId="10" xfId="1" applyNumberFormat="1" applyFont="1" applyBorder="1"/>
    <xf numFmtId="0" fontId="25" fillId="41" borderId="11" xfId="0" applyFont="1" applyFill="1" applyBorder="1"/>
    <xf numFmtId="0" fontId="57" fillId="0" borderId="10" xfId="0" applyFont="1" applyBorder="1"/>
    <xf numFmtId="0" fontId="0" fillId="41" borderId="10" xfId="0" applyFill="1" applyBorder="1" applyAlignment="1">
      <alignment horizontal="right"/>
    </xf>
    <xf numFmtId="0" fontId="0" fillId="41" borderId="10" xfId="0" applyFill="1" applyBorder="1" applyAlignment="1">
      <alignment wrapText="1"/>
    </xf>
    <xf numFmtId="0" fontId="0" fillId="41" borderId="14" xfId="0" applyFill="1" applyBorder="1" applyAlignment="1">
      <alignment wrapText="1"/>
    </xf>
    <xf numFmtId="0" fontId="0" fillId="41" borderId="0" xfId="0" applyFill="1" applyAlignment="1">
      <alignment wrapText="1"/>
    </xf>
    <xf numFmtId="1" fontId="46" fillId="0" borderId="10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4" fontId="46" fillId="0" borderId="0" xfId="0" applyNumberFormat="1" applyFont="1" applyAlignment="1">
      <alignment vertical="center"/>
    </xf>
    <xf numFmtId="0" fontId="46" fillId="41" borderId="10" xfId="0" applyFont="1" applyFill="1" applyBorder="1"/>
    <xf numFmtId="0" fontId="0" fillId="41" borderId="12" xfId="0" applyFill="1" applyBorder="1" applyAlignment="1">
      <alignment wrapText="1"/>
    </xf>
    <xf numFmtId="0" fontId="57" fillId="0" borderId="10" xfId="0" applyFont="1" applyBorder="1" applyAlignment="1">
      <alignment horizontal="right"/>
    </xf>
    <xf numFmtId="0" fontId="57" fillId="0" borderId="10" xfId="0" applyFont="1" applyBorder="1" applyAlignment="1">
      <alignment wrapText="1"/>
    </xf>
    <xf numFmtId="0" fontId="25" fillId="0" borderId="10" xfId="0" applyFont="1" applyBorder="1" applyAlignment="1">
      <alignment vertical="center"/>
    </xf>
    <xf numFmtId="0" fontId="25" fillId="0" borderId="10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1" fontId="0" fillId="0" borderId="14" xfId="0" applyNumberFormat="1" applyBorder="1"/>
    <xf numFmtId="164" fontId="0" fillId="42" borderId="10" xfId="0" applyNumberFormat="1" applyFill="1" applyBorder="1"/>
    <xf numFmtId="2" fontId="25" fillId="42" borderId="10" xfId="0" applyNumberFormat="1" applyFont="1" applyFill="1" applyBorder="1"/>
    <xf numFmtId="3" fontId="0" fillId="41" borderId="10" xfId="0" applyNumberFormat="1" applyFill="1" applyBorder="1" applyAlignment="1">
      <alignment horizontal="right"/>
    </xf>
    <xf numFmtId="0" fontId="0" fillId="41" borderId="0" xfId="0" applyFill="1"/>
    <xf numFmtId="0" fontId="53" fillId="0" borderId="0" xfId="0" applyFont="1" applyAlignment="1">
      <alignment vertical="center" wrapText="1"/>
    </xf>
    <xf numFmtId="0" fontId="59" fillId="0" borderId="0" xfId="0" applyFont="1"/>
    <xf numFmtId="3" fontId="0" fillId="0" borderId="10" xfId="1" applyNumberFormat="1" applyFont="1" applyBorder="1"/>
    <xf numFmtId="3" fontId="0" fillId="0" borderId="0" xfId="1" applyNumberFormat="1" applyFont="1"/>
    <xf numFmtId="3" fontId="28" fillId="0" borderId="0" xfId="1" applyNumberFormat="1" applyFont="1"/>
    <xf numFmtId="166" fontId="0" fillId="0" borderId="10" xfId="1" applyNumberFormat="1" applyFont="1" applyFill="1" applyBorder="1" applyAlignment="1">
      <alignment horizontal="center" vertical="center"/>
    </xf>
    <xf numFmtId="166" fontId="25" fillId="0" borderId="10" xfId="1" applyNumberFormat="1" applyFont="1" applyFill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1" fontId="46" fillId="41" borderId="10" xfId="0" applyNumberFormat="1" applyFont="1" applyFill="1" applyBorder="1"/>
    <xf numFmtId="1" fontId="46" fillId="41" borderId="10" xfId="1" applyNumberFormat="1" applyFont="1" applyFill="1" applyBorder="1" applyAlignment="1">
      <alignment horizontal="center" vertical="center"/>
    </xf>
    <xf numFmtId="1" fontId="46" fillId="41" borderId="10" xfId="0" applyNumberFormat="1" applyFont="1" applyFill="1" applyBorder="1" applyAlignment="1">
      <alignment vertical="center"/>
    </xf>
    <xf numFmtId="1" fontId="46" fillId="41" borderId="10" xfId="1" applyNumberFormat="1" applyFont="1" applyFill="1" applyBorder="1" applyAlignment="1">
      <alignment vertical="center"/>
    </xf>
    <xf numFmtId="1" fontId="46" fillId="0" borderId="10" xfId="1" applyNumberFormat="1" applyFont="1" applyBorder="1" applyAlignment="1">
      <alignment horizontal="center" vertical="center"/>
    </xf>
    <xf numFmtId="1" fontId="46" fillId="34" borderId="10" xfId="0" applyNumberFormat="1" applyFont="1" applyFill="1" applyBorder="1" applyAlignment="1">
      <alignment vertical="center"/>
    </xf>
    <xf numFmtId="1" fontId="46" fillId="0" borderId="10" xfId="0" applyNumberFormat="1" applyFont="1" applyBorder="1" applyAlignment="1">
      <alignment vertical="center"/>
    </xf>
    <xf numFmtId="1" fontId="46" fillId="0" borderId="10" xfId="1" applyNumberFormat="1" applyFont="1" applyBorder="1" applyAlignment="1">
      <alignment vertical="center"/>
    </xf>
    <xf numFmtId="1" fontId="46" fillId="41" borderId="10" xfId="0" applyNumberFormat="1" applyFont="1" applyFill="1" applyBorder="1" applyAlignment="1">
      <alignment horizontal="center"/>
    </xf>
    <xf numFmtId="1" fontId="0" fillId="41" borderId="10" xfId="0" applyNumberFormat="1" applyFill="1" applyBorder="1" applyAlignment="1">
      <alignment horizontal="right"/>
    </xf>
    <xf numFmtId="166" fontId="4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46" fillId="41" borderId="10" xfId="0" applyNumberFormat="1" applyFont="1" applyFill="1" applyBorder="1" applyAlignment="1">
      <alignment horizontal="center" vertical="center"/>
    </xf>
    <xf numFmtId="166" fontId="46" fillId="41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1" fontId="0" fillId="41" borderId="10" xfId="1" applyNumberFormat="1" applyFont="1" applyFill="1" applyBorder="1" applyAlignment="1">
      <alignment horizontal="right"/>
    </xf>
    <xf numFmtId="166" fontId="21" fillId="38" borderId="10" xfId="1" applyNumberFormat="1" applyFont="1" applyFill="1" applyBorder="1" applyAlignment="1">
      <alignment horizontal="right"/>
    </xf>
    <xf numFmtId="3" fontId="21" fillId="38" borderId="12" xfId="0" applyNumberFormat="1" applyFont="1" applyFill="1" applyBorder="1" applyAlignment="1">
      <alignment vertical="center"/>
    </xf>
    <xf numFmtId="3" fontId="21" fillId="0" borderId="10" xfId="1" applyNumberFormat="1" applyFont="1" applyBorder="1"/>
    <xf numFmtId="3" fontId="56" fillId="0" borderId="10" xfId="1" applyNumberFormat="1" applyFont="1" applyBorder="1"/>
    <xf numFmtId="1" fontId="57" fillId="0" borderId="10" xfId="0" applyNumberFormat="1" applyFont="1" applyBorder="1" applyAlignment="1">
      <alignment horizontal="right" vertical="center"/>
    </xf>
    <xf numFmtId="166" fontId="57" fillId="0" borderId="10" xfId="1" applyNumberFormat="1" applyFont="1" applyFill="1" applyBorder="1" applyAlignment="1">
      <alignment horizontal="center" vertical="center"/>
    </xf>
    <xf numFmtId="1" fontId="57" fillId="0" borderId="14" xfId="0" applyNumberFormat="1" applyFont="1" applyBorder="1" applyAlignment="1">
      <alignment horizontal="right" vertical="center"/>
    </xf>
    <xf numFmtId="1" fontId="57" fillId="0" borderId="0" xfId="0" applyNumberFormat="1" applyFont="1"/>
    <xf numFmtId="3" fontId="21" fillId="0" borderId="10" xfId="0" applyNumberFormat="1" applyFont="1" applyBorder="1" applyAlignment="1">
      <alignment horizontal="center" vertical="center"/>
    </xf>
    <xf numFmtId="0" fontId="61" fillId="0" borderId="10" xfId="0" applyFont="1" applyBorder="1"/>
    <xf numFmtId="0" fontId="57" fillId="0" borderId="0" xfId="0" applyFont="1"/>
    <xf numFmtId="0" fontId="61" fillId="0" borderId="10" xfId="0" applyFont="1" applyBorder="1" applyAlignment="1">
      <alignment vertical="center"/>
    </xf>
    <xf numFmtId="0" fontId="61" fillId="0" borderId="10" xfId="0" applyFont="1" applyBorder="1" applyAlignment="1">
      <alignment vertical="center" wrapText="1"/>
    </xf>
    <xf numFmtId="3" fontId="57" fillId="0" borderId="10" xfId="1" applyNumberFormat="1" applyFont="1" applyBorder="1" applyAlignment="1">
      <alignment horizontal="right"/>
    </xf>
    <xf numFmtId="0" fontId="26" fillId="0" borderId="10" xfId="0" applyFont="1" applyBorder="1"/>
    <xf numFmtId="0" fontId="57" fillId="0" borderId="14" xfId="0" applyFont="1" applyBorder="1"/>
    <xf numFmtId="0" fontId="57" fillId="0" borderId="10" xfId="0" applyFont="1" applyBorder="1" applyAlignment="1">
      <alignment vertical="center"/>
    </xf>
    <xf numFmtId="1" fontId="57" fillId="0" borderId="10" xfId="0" applyNumberFormat="1" applyFont="1" applyBorder="1" applyAlignment="1">
      <alignment horizontal="right"/>
    </xf>
    <xf numFmtId="166" fontId="57" fillId="0" borderId="10" xfId="1" applyNumberFormat="1" applyFont="1" applyFill="1" applyBorder="1" applyAlignment="1">
      <alignment horizontal="right"/>
    </xf>
    <xf numFmtId="0" fontId="57" fillId="0" borderId="11" xfId="0" applyFont="1" applyBorder="1" applyAlignment="1">
      <alignment wrapText="1"/>
    </xf>
    <xf numFmtId="1" fontId="57" fillId="0" borderId="10" xfId="0" applyNumberFormat="1" applyFont="1" applyBorder="1"/>
    <xf numFmtId="0" fontId="57" fillId="0" borderId="0" xfId="0" applyFont="1" applyAlignment="1">
      <alignment wrapText="1"/>
    </xf>
    <xf numFmtId="1" fontId="30" fillId="0" borderId="10" xfId="0" applyNumberFormat="1" applyFont="1" applyBorder="1" applyAlignment="1">
      <alignment horizontal="right"/>
    </xf>
    <xf numFmtId="164" fontId="30" fillId="0" borderId="10" xfId="1" applyNumberFormat="1" applyFont="1" applyBorder="1" applyAlignment="1">
      <alignment horizontal="right"/>
    </xf>
    <xf numFmtId="0" fontId="57" fillId="0" borderId="10" xfId="0" applyFont="1" applyBorder="1" applyAlignment="1">
      <alignment horizontal="right" vertical="center"/>
    </xf>
    <xf numFmtId="0" fontId="57" fillId="34" borderId="10" xfId="0" applyFont="1" applyFill="1" applyBorder="1" applyAlignment="1">
      <alignment wrapText="1"/>
    </xf>
    <xf numFmtId="166" fontId="57" fillId="0" borderId="10" xfId="1" applyNumberFormat="1" applyFont="1" applyFill="1" applyBorder="1"/>
    <xf numFmtId="166" fontId="57" fillId="0" borderId="10" xfId="1" applyNumberFormat="1" applyFont="1" applyBorder="1"/>
    <xf numFmtId="0" fontId="57" fillId="34" borderId="10" xfId="0" applyFont="1" applyFill="1" applyBorder="1"/>
    <xf numFmtId="164" fontId="21" fillId="38" borderId="20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1" fontId="25" fillId="0" borderId="10" xfId="0" applyNumberFormat="1" applyFont="1" applyBorder="1" applyAlignment="1">
      <alignment vertical="center" wrapText="1"/>
    </xf>
    <xf numFmtId="164" fontId="22" fillId="0" borderId="10" xfId="1" applyNumberFormat="1" applyFont="1" applyFill="1" applyBorder="1" applyAlignment="1">
      <alignment horizontal="right" vertical="center"/>
    </xf>
    <xf numFmtId="164" fontId="25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164" fontId="26" fillId="38" borderId="10" xfId="1" applyNumberFormat="1" applyFont="1" applyFill="1" applyBorder="1" applyAlignment="1">
      <alignment horizontal="right" vertical="center"/>
    </xf>
    <xf numFmtId="0" fontId="53" fillId="0" borderId="0" xfId="0" applyFont="1" applyAlignment="1">
      <alignment vertical="center"/>
    </xf>
    <xf numFmtId="1" fontId="49" fillId="0" borderId="10" xfId="0" applyNumberFormat="1" applyFont="1" applyBorder="1" applyAlignment="1">
      <alignment horizontal="right" vertical="center"/>
    </xf>
    <xf numFmtId="1" fontId="49" fillId="0" borderId="10" xfId="1" applyNumberFormat="1" applyFont="1" applyFill="1" applyBorder="1" applyAlignment="1">
      <alignment horizontal="right" vertical="center"/>
    </xf>
    <xf numFmtId="0" fontId="53" fillId="0" borderId="0" xfId="0" applyFont="1"/>
    <xf numFmtId="0" fontId="58" fillId="0" borderId="0" xfId="0" applyFont="1"/>
    <xf numFmtId="0" fontId="53" fillId="34" borderId="0" xfId="0" applyFont="1" applyFill="1" applyAlignment="1">
      <alignment vertical="center"/>
    </xf>
    <xf numFmtId="0" fontId="14" fillId="0" borderId="10" xfId="0" applyFont="1" applyBorder="1"/>
    <xf numFmtId="0" fontId="57" fillId="0" borderId="0" xfId="0" applyFont="1" applyAlignment="1">
      <alignment horizontal="center" vertical="center"/>
    </xf>
    <xf numFmtId="1" fontId="57" fillId="0" borderId="10" xfId="0" applyNumberFormat="1" applyFont="1" applyBorder="1" applyAlignment="1">
      <alignment horizontal="center" vertical="center"/>
    </xf>
    <xf numFmtId="1" fontId="21" fillId="38" borderId="10" xfId="0" applyNumberFormat="1" applyFont="1" applyFill="1" applyBorder="1"/>
    <xf numFmtId="1" fontId="21" fillId="38" borderId="10" xfId="0" applyNumberFormat="1" applyFont="1" applyFill="1" applyBorder="1" applyAlignment="1">
      <alignment horizontal="center" vertical="center" wrapText="1"/>
    </xf>
    <xf numFmtId="1" fontId="57" fillId="0" borderId="10" xfId="0" applyNumberFormat="1" applyFont="1" applyBorder="1" applyAlignment="1">
      <alignment vertical="center" wrapText="1"/>
    </xf>
    <xf numFmtId="0" fontId="57" fillId="0" borderId="10" xfId="0" applyFont="1" applyBorder="1" applyAlignment="1">
      <alignment horizontal="right" vertical="center" wrapText="1"/>
    </xf>
    <xf numFmtId="166" fontId="21" fillId="38" borderId="10" xfId="0" applyNumberFormat="1" applyFont="1" applyFill="1" applyBorder="1" applyAlignment="1">
      <alignment horizontal="center" wrapText="1"/>
    </xf>
    <xf numFmtId="0" fontId="57" fillId="0" borderId="13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3" fontId="26" fillId="43" borderId="10" xfId="1" applyNumberFormat="1" applyFont="1" applyFill="1" applyBorder="1" applyAlignment="1">
      <alignment horizontal="center" vertical="center"/>
    </xf>
    <xf numFmtId="3" fontId="26" fillId="43" borderId="10" xfId="1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6" fontId="21" fillId="38" borderId="10" xfId="1" applyNumberFormat="1" applyFont="1" applyFill="1" applyBorder="1" applyAlignment="1">
      <alignment horizontal="center"/>
    </xf>
    <xf numFmtId="3" fontId="61" fillId="0" borderId="10" xfId="1" applyNumberFormat="1" applyFont="1" applyBorder="1" applyAlignment="1">
      <alignment horizontal="center"/>
    </xf>
    <xf numFmtId="3" fontId="61" fillId="0" borderId="10" xfId="1" applyNumberFormat="1" applyFont="1" applyBorder="1" applyAlignment="1">
      <alignment horizontal="center" vertical="center"/>
    </xf>
    <xf numFmtId="166" fontId="57" fillId="0" borderId="0" xfId="1" applyNumberFormat="1" applyFont="1"/>
    <xf numFmtId="166" fontId="57" fillId="0" borderId="15" xfId="1" applyNumberFormat="1" applyFont="1" applyBorder="1" applyAlignment="1">
      <alignment horizontal="right"/>
    </xf>
    <xf numFmtId="164" fontId="47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164" fontId="59" fillId="0" borderId="10" xfId="1" applyNumberFormat="1" applyFont="1" applyFill="1" applyBorder="1" applyAlignment="1">
      <alignment horizontal="right" vertical="center"/>
    </xf>
    <xf numFmtId="0" fontId="59" fillId="0" borderId="10" xfId="0" applyFont="1" applyBorder="1" applyAlignment="1">
      <alignment horizontal="right" vertical="center"/>
    </xf>
    <xf numFmtId="166" fontId="59" fillId="0" borderId="10" xfId="1" applyNumberFormat="1" applyFont="1" applyFill="1" applyBorder="1" applyAlignment="1">
      <alignment horizontal="right" vertical="center"/>
    </xf>
    <xf numFmtId="0" fontId="65" fillId="0" borderId="0" xfId="0" applyFont="1"/>
    <xf numFmtId="1" fontId="0" fillId="34" borderId="10" xfId="0" applyNumberFormat="1" applyFill="1" applyBorder="1" applyAlignment="1">
      <alignment horizontal="right" vertical="center"/>
    </xf>
    <xf numFmtId="1" fontId="0" fillId="0" borderId="10" xfId="2" applyNumberFormat="1" applyFont="1" applyBorder="1" applyAlignment="1">
      <alignment horizontal="right" vertical="center"/>
    </xf>
    <xf numFmtId="164" fontId="0" fillId="0" borderId="22" xfId="0" applyNumberFormat="1" applyBorder="1"/>
    <xf numFmtId="43" fontId="0" fillId="0" borderId="22" xfId="0" applyNumberFormat="1" applyBorder="1"/>
    <xf numFmtId="164" fontId="0" fillId="0" borderId="0" xfId="0" applyNumberFormat="1"/>
    <xf numFmtId="3" fontId="26" fillId="37" borderId="10" xfId="0" applyNumberFormat="1" applyFont="1" applyFill="1" applyBorder="1" applyAlignment="1">
      <alignment horizontal="right"/>
    </xf>
    <xf numFmtId="3" fontId="61" fillId="0" borderId="10" xfId="1" applyNumberFormat="1" applyFont="1" applyFill="1" applyBorder="1" applyAlignment="1">
      <alignment horizontal="center" vertical="center"/>
    </xf>
    <xf numFmtId="3" fontId="56" fillId="0" borderId="10" xfId="0" applyNumberFormat="1" applyFont="1" applyBorder="1"/>
    <xf numFmtId="3" fontId="61" fillId="34" borderId="10" xfId="0" applyNumberFormat="1" applyFont="1" applyFill="1" applyBorder="1" applyAlignment="1">
      <alignment horizontal="center" vertical="center"/>
    </xf>
    <xf numFmtId="3" fontId="57" fillId="0" borderId="10" xfId="0" applyNumberFormat="1" applyFont="1" applyBorder="1" applyAlignment="1">
      <alignment horizontal="center" vertical="center"/>
    </xf>
    <xf numFmtId="3" fontId="61" fillId="0" borderId="10" xfId="0" applyNumberFormat="1" applyFont="1" applyBorder="1" applyAlignment="1">
      <alignment horizontal="center" vertical="center"/>
    </xf>
    <xf numFmtId="3" fontId="61" fillId="0" borderId="12" xfId="0" applyNumberFormat="1" applyFont="1" applyBorder="1" applyAlignment="1">
      <alignment horizontal="center" vertical="center"/>
    </xf>
    <xf numFmtId="3" fontId="61" fillId="0" borderId="11" xfId="0" applyNumberFormat="1" applyFont="1" applyBorder="1" applyAlignment="1">
      <alignment horizontal="center" vertical="center"/>
    </xf>
    <xf numFmtId="3" fontId="61" fillId="0" borderId="18" xfId="0" applyNumberFormat="1" applyFont="1" applyBorder="1" applyAlignment="1">
      <alignment horizontal="center" vertical="center"/>
    </xf>
    <xf numFmtId="1" fontId="21" fillId="38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3" fontId="18" fillId="38" borderId="10" xfId="0" applyNumberFormat="1" applyFont="1" applyFill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64" fontId="48" fillId="0" borderId="10" xfId="46" quotePrefix="1" applyNumberFormat="1" applyFill="1" applyBorder="1" applyAlignment="1">
      <alignment horizontal="center" vertical="center"/>
    </xf>
    <xf numFmtId="0" fontId="48" fillId="0" borderId="10" xfId="46" quotePrefix="1" applyFill="1" applyBorder="1" applyAlignment="1">
      <alignment horizontal="center" vertical="center"/>
    </xf>
    <xf numFmtId="3" fontId="48" fillId="0" borderId="10" xfId="46" applyNumberFormat="1" applyFill="1" applyBorder="1" applyAlignment="1">
      <alignment horizontal="center" vertical="center"/>
    </xf>
    <xf numFmtId="3" fontId="48" fillId="0" borderId="10" xfId="46" quotePrefix="1" applyNumberFormat="1" applyFill="1" applyBorder="1" applyAlignment="1">
      <alignment horizontal="center" vertical="center"/>
    </xf>
    <xf numFmtId="166" fontId="57" fillId="0" borderId="15" xfId="1" applyNumberFormat="1" applyFont="1" applyBorder="1"/>
    <xf numFmtId="164" fontId="59" fillId="0" borderId="10" xfId="0" applyNumberFormat="1" applyFont="1" applyBorder="1" applyAlignment="1">
      <alignment horizontal="right" vertical="center"/>
    </xf>
    <xf numFmtId="5" fontId="0" fillId="0" borderId="10" xfId="1" applyNumberFormat="1" applyFont="1" applyFill="1" applyBorder="1" applyAlignment="1">
      <alignment horizontal="center" vertical="center"/>
    </xf>
    <xf numFmtId="164" fontId="30" fillId="0" borderId="10" xfId="1" applyNumberFormat="1" applyFont="1" applyFill="1" applyBorder="1" applyAlignment="1">
      <alignment horizontal="right"/>
    </xf>
    <xf numFmtId="166" fontId="30" fillId="0" borderId="10" xfId="1" applyNumberFormat="1" applyFont="1" applyBorder="1" applyAlignment="1">
      <alignment horizontal="right"/>
    </xf>
    <xf numFmtId="0" fontId="49" fillId="38" borderId="1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 wrapText="1"/>
    </xf>
    <xf numFmtId="1" fontId="49" fillId="38" borderId="10" xfId="0" applyNumberFormat="1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wrapText="1"/>
    </xf>
    <xf numFmtId="164" fontId="26" fillId="38" borderId="10" xfId="1" applyNumberFormat="1" applyFont="1" applyFill="1" applyBorder="1" applyAlignment="1">
      <alignment horizontal="center" wrapText="1"/>
    </xf>
    <xf numFmtId="0" fontId="26" fillId="38" borderId="10" xfId="0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horizontal="center" vertical="center" wrapText="1"/>
    </xf>
    <xf numFmtId="0" fontId="26" fillId="0" borderId="0" xfId="0" applyFont="1"/>
    <xf numFmtId="166" fontId="57" fillId="0" borderId="10" xfId="1" applyNumberFormat="1" applyFont="1" applyBorder="1" applyAlignment="1"/>
    <xf numFmtId="0" fontId="57" fillId="38" borderId="10" xfId="0" applyFont="1" applyFill="1" applyBorder="1"/>
    <xf numFmtId="3" fontId="26" fillId="38" borderId="10" xfId="0" applyNumberFormat="1" applyFont="1" applyFill="1" applyBorder="1"/>
    <xf numFmtId="0" fontId="57" fillId="0" borderId="10" xfId="0" applyFont="1" applyBorder="1" applyAlignment="1">
      <alignment vertical="center" wrapText="1"/>
    </xf>
    <xf numFmtId="1" fontId="57" fillId="0" borderId="10" xfId="1" applyNumberFormat="1" applyFont="1" applyBorder="1" applyAlignment="1">
      <alignment horizontal="right"/>
    </xf>
    <xf numFmtId="1" fontId="57" fillId="34" borderId="10" xfId="1" applyNumberFormat="1" applyFont="1" applyFill="1" applyBorder="1" applyAlignment="1">
      <alignment horizontal="right"/>
    </xf>
    <xf numFmtId="164" fontId="57" fillId="34" borderId="10" xfId="1" applyNumberFormat="1" applyFont="1" applyFill="1" applyBorder="1" applyAlignment="1">
      <alignment horizontal="right"/>
    </xf>
    <xf numFmtId="1" fontId="57" fillId="0" borderId="10" xfId="1" applyNumberFormat="1" applyFont="1" applyBorder="1" applyAlignment="1">
      <alignment horizontal="right" vertical="center"/>
    </xf>
    <xf numFmtId="1" fontId="57" fillId="34" borderId="10" xfId="0" applyNumberFormat="1" applyFont="1" applyFill="1" applyBorder="1" applyAlignment="1">
      <alignment vertical="center"/>
    </xf>
    <xf numFmtId="1" fontId="57" fillId="34" borderId="10" xfId="0" applyNumberFormat="1" applyFont="1" applyFill="1" applyBorder="1"/>
    <xf numFmtId="164" fontId="57" fillId="0" borderId="10" xfId="1" applyNumberFormat="1" applyFont="1" applyBorder="1" applyAlignment="1">
      <alignment horizontal="right"/>
    </xf>
    <xf numFmtId="3" fontId="26" fillId="38" borderId="10" xfId="0" applyNumberFormat="1" applyFont="1" applyFill="1" applyBorder="1" applyAlignment="1">
      <alignment horizontal="right"/>
    </xf>
    <xf numFmtId="0" fontId="26" fillId="38" borderId="14" xfId="0" applyFont="1" applyFill="1" applyBorder="1" applyAlignment="1">
      <alignment horizontal="center" vertical="center"/>
    </xf>
    <xf numFmtId="0" fontId="57" fillId="0" borderId="12" xfId="0" applyFont="1" applyBorder="1" applyAlignment="1">
      <alignment wrapText="1"/>
    </xf>
    <xf numFmtId="0" fontId="57" fillId="0" borderId="14" xfId="0" applyFont="1" applyBorder="1" applyAlignment="1">
      <alignment wrapText="1"/>
    </xf>
    <xf numFmtId="0" fontId="57" fillId="0" borderId="18" xfId="0" applyFont="1" applyBorder="1"/>
    <xf numFmtId="164" fontId="57" fillId="0" borderId="10" xfId="0" applyNumberFormat="1" applyFont="1" applyBorder="1" applyAlignment="1">
      <alignment horizontal="right"/>
    </xf>
    <xf numFmtId="0" fontId="57" fillId="0" borderId="15" xfId="0" applyFont="1" applyBorder="1"/>
    <xf numFmtId="0" fontId="57" fillId="0" borderId="11" xfId="0" applyFont="1" applyBorder="1"/>
    <xf numFmtId="0" fontId="57" fillId="0" borderId="11" xfId="0" applyFont="1" applyBorder="1" applyAlignment="1">
      <alignment horizontal="right"/>
    </xf>
    <xf numFmtId="1" fontId="57" fillId="0" borderId="11" xfId="0" applyNumberFormat="1" applyFont="1" applyBorder="1" applyAlignment="1">
      <alignment horizontal="right"/>
    </xf>
    <xf numFmtId="0" fontId="57" fillId="0" borderId="13" xfId="0" applyFont="1" applyBorder="1"/>
    <xf numFmtId="164" fontId="26" fillId="38" borderId="20" xfId="0" applyNumberFormat="1" applyFont="1" applyFill="1" applyBorder="1" applyAlignment="1">
      <alignment horizontal="right"/>
    </xf>
    <xf numFmtId="1" fontId="57" fillId="38" borderId="20" xfId="0" applyNumberFormat="1" applyFont="1" applyFill="1" applyBorder="1" applyAlignment="1">
      <alignment horizontal="right"/>
    </xf>
    <xf numFmtId="164" fontId="57" fillId="38" borderId="20" xfId="0" applyNumberFormat="1" applyFont="1" applyFill="1" applyBorder="1" applyAlignment="1">
      <alignment horizontal="right"/>
    </xf>
    <xf numFmtId="164" fontId="57" fillId="0" borderId="15" xfId="1" applyNumberFormat="1" applyFont="1" applyFill="1" applyBorder="1" applyAlignment="1">
      <alignment horizontal="right"/>
    </xf>
    <xf numFmtId="1" fontId="57" fillId="0" borderId="15" xfId="1" applyNumberFormat="1" applyFont="1" applyFill="1" applyBorder="1" applyAlignment="1">
      <alignment horizontal="right"/>
    </xf>
    <xf numFmtId="1" fontId="57" fillId="34" borderId="10" xfId="0" applyNumberFormat="1" applyFont="1" applyFill="1" applyBorder="1" applyAlignment="1">
      <alignment horizontal="right"/>
    </xf>
    <xf numFmtId="0" fontId="57" fillId="34" borderId="10" xfId="0" applyFont="1" applyFill="1" applyBorder="1" applyAlignment="1">
      <alignment horizontal="right"/>
    </xf>
    <xf numFmtId="164" fontId="26" fillId="38" borderId="10" xfId="1" applyNumberFormat="1" applyFont="1" applyFill="1" applyBorder="1" applyAlignment="1">
      <alignment horizontal="right"/>
    </xf>
    <xf numFmtId="1" fontId="26" fillId="38" borderId="10" xfId="1" applyNumberFormat="1" applyFont="1" applyFill="1" applyBorder="1" applyAlignment="1">
      <alignment horizontal="right"/>
    </xf>
    <xf numFmtId="166" fontId="26" fillId="38" borderId="10" xfId="1" applyNumberFormat="1" applyFont="1" applyFill="1" applyBorder="1" applyAlignment="1">
      <alignment horizontal="right"/>
    </xf>
    <xf numFmtId="164" fontId="57" fillId="0" borderId="10" xfId="1" applyNumberFormat="1" applyFont="1" applyFill="1" applyBorder="1" applyAlignment="1">
      <alignment horizontal="right"/>
    </xf>
    <xf numFmtId="1" fontId="26" fillId="38" borderId="10" xfId="0" applyNumberFormat="1" applyFont="1" applyFill="1" applyBorder="1" applyAlignment="1">
      <alignment horizontal="right"/>
    </xf>
    <xf numFmtId="164" fontId="57" fillId="0" borderId="10" xfId="1" applyNumberFormat="1" applyFont="1" applyBorder="1" applyAlignment="1">
      <alignment vertical="center"/>
    </xf>
    <xf numFmtId="164" fontId="57" fillId="34" borderId="10" xfId="1" applyNumberFormat="1" applyFont="1" applyFill="1" applyBorder="1" applyAlignment="1">
      <alignment vertical="center"/>
    </xf>
    <xf numFmtId="164" fontId="26" fillId="38" borderId="10" xfId="1" applyNumberFormat="1" applyFont="1" applyFill="1" applyBorder="1" applyAlignment="1">
      <alignment vertical="center"/>
    </xf>
    <xf numFmtId="1" fontId="30" fillId="0" borderId="10" xfId="0" applyNumberFormat="1" applyFont="1" applyBorder="1"/>
    <xf numFmtId="0" fontId="57" fillId="34" borderId="10" xfId="0" applyFont="1" applyFill="1" applyBorder="1" applyAlignment="1">
      <alignment vertical="center"/>
    </xf>
    <xf numFmtId="1" fontId="57" fillId="0" borderId="10" xfId="1" applyNumberFormat="1" applyFont="1" applyFill="1" applyBorder="1" applyAlignment="1">
      <alignment horizontal="right"/>
    </xf>
    <xf numFmtId="0" fontId="49" fillId="40" borderId="10" xfId="0" applyFont="1" applyFill="1" applyBorder="1" applyAlignment="1">
      <alignment horizontal="center" vertical="center" wrapText="1"/>
    </xf>
    <xf numFmtId="1" fontId="57" fillId="0" borderId="10" xfId="2" applyNumberFormat="1" applyFont="1" applyBorder="1" applyAlignment="1">
      <alignment horizontal="right"/>
    </xf>
    <xf numFmtId="3" fontId="26" fillId="37" borderId="10" xfId="1" applyNumberFormat="1" applyFont="1" applyFill="1" applyBorder="1" applyAlignment="1">
      <alignment horizontal="right"/>
    </xf>
    <xf numFmtId="3" fontId="57" fillId="0" borderId="10" xfId="1" applyNumberFormat="1" applyFont="1" applyFill="1" applyBorder="1" applyAlignment="1">
      <alignment horizontal="right"/>
    </xf>
    <xf numFmtId="0" fontId="26" fillId="37" borderId="17" xfId="0" applyFont="1" applyFill="1" applyBorder="1" applyAlignment="1">
      <alignment horizontal="center"/>
    </xf>
    <xf numFmtId="0" fontId="57" fillId="0" borderId="17" xfId="0" applyFont="1" applyBorder="1"/>
    <xf numFmtId="0" fontId="57" fillId="0" borderId="17" xfId="0" applyFont="1" applyBorder="1" applyAlignment="1">
      <alignment horizontal="right"/>
    </xf>
    <xf numFmtId="3" fontId="26" fillId="0" borderId="10" xfId="1" applyNumberFormat="1" applyFont="1" applyFill="1" applyBorder="1" applyAlignment="1">
      <alignment horizontal="right"/>
    </xf>
    <xf numFmtId="0" fontId="66" fillId="43" borderId="17" xfId="0" applyFont="1" applyFill="1" applyBorder="1" applyAlignment="1">
      <alignment horizontal="center"/>
    </xf>
    <xf numFmtId="0" fontId="66" fillId="43" borderId="17" xfId="0" applyFont="1" applyFill="1" applyBorder="1"/>
    <xf numFmtId="3" fontId="66" fillId="43" borderId="10" xfId="0" applyNumberFormat="1" applyFont="1" applyFill="1" applyBorder="1" applyAlignment="1">
      <alignment horizontal="right"/>
    </xf>
    <xf numFmtId="3" fontId="66" fillId="37" borderId="10" xfId="0" applyNumberFormat="1" applyFont="1" applyFill="1" applyBorder="1" applyAlignment="1">
      <alignment horizontal="right"/>
    </xf>
    <xf numFmtId="0" fontId="26" fillId="37" borderId="10" xfId="0" applyFont="1" applyFill="1" applyBorder="1" applyAlignment="1">
      <alignment horizontal="center"/>
    </xf>
    <xf numFmtId="1" fontId="57" fillId="0" borderId="11" xfId="0" applyNumberFormat="1" applyFont="1" applyBorder="1"/>
    <xf numFmtId="0" fontId="61" fillId="0" borderId="13" xfId="0" applyFont="1" applyBorder="1"/>
    <xf numFmtId="1" fontId="61" fillId="0" borderId="10" xfId="0" applyNumberFormat="1" applyFont="1" applyBorder="1"/>
    <xf numFmtId="0" fontId="61" fillId="0" borderId="10" xfId="0" applyFont="1" applyBorder="1" applyAlignment="1">
      <alignment wrapText="1"/>
    </xf>
    <xf numFmtId="3" fontId="26" fillId="38" borderId="10" xfId="0" applyNumberFormat="1" applyFont="1" applyFill="1" applyBorder="1" applyAlignment="1">
      <alignment horizontal="center"/>
    </xf>
    <xf numFmtId="3" fontId="26" fillId="38" borderId="12" xfId="0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 vertical="center"/>
    </xf>
    <xf numFmtId="1" fontId="57" fillId="0" borderId="11" xfId="0" applyNumberFormat="1" applyFont="1" applyBorder="1" applyAlignment="1">
      <alignment horizontal="center" vertical="center"/>
    </xf>
    <xf numFmtId="1" fontId="57" fillId="0" borderId="11" xfId="0" applyNumberFormat="1" applyFont="1" applyBorder="1" applyAlignment="1">
      <alignment vertical="center" wrapText="1"/>
    </xf>
    <xf numFmtId="1" fontId="67" fillId="0" borderId="10" xfId="0" applyNumberFormat="1" applyFont="1" applyBorder="1" applyAlignment="1">
      <alignment horizontal="center" vertical="center"/>
    </xf>
    <xf numFmtId="1" fontId="57" fillId="38" borderId="10" xfId="0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horizontal="right" vertical="center"/>
    </xf>
    <xf numFmtId="0" fontId="44" fillId="0" borderId="15" xfId="0" applyFont="1" applyBorder="1" applyAlignment="1">
      <alignment horizontal="right" vertical="center"/>
    </xf>
    <xf numFmtId="0" fontId="44" fillId="0" borderId="12" xfId="0" applyFont="1" applyBorder="1" applyAlignment="1">
      <alignment horizontal="right" vertical="center"/>
    </xf>
    <xf numFmtId="49" fontId="44" fillId="0" borderId="11" xfId="0" applyNumberFormat="1" applyFont="1" applyBorder="1" applyAlignment="1">
      <alignment horizontal="right" vertical="center"/>
    </xf>
    <xf numFmtId="49" fontId="44" fillId="0" borderId="15" xfId="0" applyNumberFormat="1" applyFont="1" applyBorder="1" applyAlignment="1">
      <alignment horizontal="right" vertical="center"/>
    </xf>
    <xf numFmtId="49" fontId="44" fillId="0" borderId="12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readingOrder="2"/>
    </xf>
    <xf numFmtId="0" fontId="53" fillId="0" borderId="0" xfId="0" applyFont="1" applyAlignment="1">
      <alignment horizontal="center" vertical="center"/>
    </xf>
    <xf numFmtId="166" fontId="57" fillId="0" borderId="11" xfId="1" applyNumberFormat="1" applyFont="1" applyFill="1" applyBorder="1" applyAlignment="1">
      <alignment horizontal="center" vertical="center"/>
    </xf>
    <xf numFmtId="166" fontId="57" fillId="0" borderId="12" xfId="1" applyNumberFormat="1" applyFont="1" applyFill="1" applyBorder="1" applyAlignment="1">
      <alignment horizontal="center" vertical="center"/>
    </xf>
    <xf numFmtId="1" fontId="57" fillId="0" borderId="10" xfId="0" applyNumberFormat="1" applyFont="1" applyBorder="1" applyAlignment="1">
      <alignment horizontal="center" vertical="center"/>
    </xf>
    <xf numFmtId="1" fontId="57" fillId="0" borderId="11" xfId="0" applyNumberFormat="1" applyFont="1" applyBorder="1" applyAlignment="1">
      <alignment horizontal="center" vertical="center"/>
    </xf>
    <xf numFmtId="1" fontId="57" fillId="0" borderId="12" xfId="0" applyNumberFormat="1" applyFont="1" applyBorder="1" applyAlignment="1">
      <alignment horizontal="center" vertical="center"/>
    </xf>
    <xf numFmtId="1" fontId="57" fillId="0" borderId="15" xfId="0" applyNumberFormat="1" applyFont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18" fillId="38" borderId="10" xfId="0" applyFont="1" applyFill="1" applyBorder="1" applyAlignment="1">
      <alignment horizontal="center"/>
    </xf>
    <xf numFmtId="0" fontId="53" fillId="34" borderId="0" xfId="0" applyFont="1" applyFill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0" fillId="0" borderId="11" xfId="1" applyNumberFormat="1" applyFont="1" applyFill="1" applyBorder="1" applyAlignment="1">
      <alignment horizontal="center" vertical="center"/>
    </xf>
    <xf numFmtId="3" fontId="0" fillId="0" borderId="12" xfId="1" applyNumberFormat="1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/>
    </xf>
    <xf numFmtId="0" fontId="26" fillId="37" borderId="14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6" fillId="37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3" fillId="34" borderId="0" xfId="0" applyFont="1" applyFill="1" applyAlignment="1">
      <alignment horizontal="center" vertical="center"/>
    </xf>
    <xf numFmtId="0" fontId="62" fillId="34" borderId="0" xfId="0" applyFont="1" applyFill="1" applyAlignment="1">
      <alignment horizontal="center" vertical="center"/>
    </xf>
    <xf numFmtId="0" fontId="21" fillId="38" borderId="13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1" fontId="21" fillId="38" borderId="10" xfId="0" applyNumberFormat="1" applyFont="1" applyFill="1" applyBorder="1" applyAlignment="1">
      <alignment horizontal="center"/>
    </xf>
    <xf numFmtId="1" fontId="21" fillId="38" borderId="13" xfId="0" applyNumberFormat="1" applyFont="1" applyFill="1" applyBorder="1" applyAlignment="1">
      <alignment horizontal="center" vertical="center" wrapText="1"/>
    </xf>
    <xf numFmtId="1" fontId="21" fillId="38" borderId="14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21" fillId="38" borderId="13" xfId="0" applyFont="1" applyFill="1" applyBorder="1" applyAlignment="1">
      <alignment horizontal="center"/>
    </xf>
    <xf numFmtId="0" fontId="21" fillId="38" borderId="14" xfId="0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6" fillId="38" borderId="13" xfId="0" applyFont="1" applyFill="1" applyBorder="1" applyAlignment="1">
      <alignment horizontal="center" vertical="center" wrapText="1"/>
    </xf>
    <xf numFmtId="0" fontId="26" fillId="38" borderId="14" xfId="0" applyFont="1" applyFill="1" applyBorder="1" applyAlignment="1">
      <alignment horizontal="center" vertical="center" wrapText="1"/>
    </xf>
    <xf numFmtId="0" fontId="21" fillId="38" borderId="13" xfId="0" applyFont="1" applyFill="1" applyBorder="1" applyAlignment="1">
      <alignment horizontal="center" wrapText="1"/>
    </xf>
    <xf numFmtId="0" fontId="21" fillId="38" borderId="14" xfId="0" applyFont="1" applyFill="1" applyBorder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7" fillId="38" borderId="21" xfId="0" applyFont="1" applyFill="1" applyBorder="1" applyAlignment="1">
      <alignment horizontal="center" vertical="center"/>
    </xf>
    <xf numFmtId="0" fontId="57" fillId="38" borderId="20" xfId="0" applyFont="1" applyFill="1" applyBorder="1" applyAlignment="1">
      <alignment horizontal="center" vertical="center"/>
    </xf>
    <xf numFmtId="0" fontId="57" fillId="38" borderId="21" xfId="0" applyFont="1" applyFill="1" applyBorder="1" applyAlignment="1">
      <alignment horizontal="center"/>
    </xf>
    <xf numFmtId="0" fontId="57" fillId="38" borderId="20" xfId="0" applyFont="1" applyFill="1" applyBorder="1" applyAlignment="1">
      <alignment horizontal="center"/>
    </xf>
    <xf numFmtId="0" fontId="21" fillId="38" borderId="21" xfId="0" applyFont="1" applyFill="1" applyBorder="1" applyAlignment="1">
      <alignment horizontal="center"/>
    </xf>
    <xf numFmtId="0" fontId="21" fillId="38" borderId="20" xfId="0" applyFont="1" applyFill="1" applyBorder="1" applyAlignment="1">
      <alignment horizontal="center"/>
    </xf>
    <xf numFmtId="0" fontId="53" fillId="34" borderId="0" xfId="0" applyFont="1" applyFill="1" applyAlignment="1">
      <alignment horizontal="center" vertical="center" wrapText="1"/>
    </xf>
    <xf numFmtId="0" fontId="26" fillId="38" borderId="14" xfId="0" applyFont="1" applyFill="1" applyBorder="1" applyAlignment="1">
      <alignment horizontal="center"/>
    </xf>
    <xf numFmtId="0" fontId="26" fillId="38" borderId="13" xfId="0" applyFont="1" applyFill="1" applyBorder="1" applyAlignment="1">
      <alignment horizontal="center"/>
    </xf>
    <xf numFmtId="0" fontId="0" fillId="0" borderId="0" xfId="0" applyProtection="1">
      <protection locked="0"/>
    </xf>
  </cellXfs>
  <cellStyles count="47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 xr:uid="{00000000-0005-0000-0000-000013000000}"/>
    <cellStyle name="Normal" xfId="0" builtinId="0"/>
    <cellStyle name="Normal 2" xfId="44" xr:uid="{00000000-0005-0000-0000-000015000000}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יפר-קישור" xfId="46" builtinId="8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colors>
    <mruColors>
      <color rgb="FFCC99FF"/>
      <color rgb="FFFF66FF"/>
      <color rgb="FFFF99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A2:C58"/>
  <sheetViews>
    <sheetView rightToLeft="1" topLeftCell="A25" zoomScaleNormal="100" zoomScalePageLayoutView="51" workbookViewId="0">
      <selection activeCell="C31" sqref="C31"/>
    </sheetView>
  </sheetViews>
  <sheetFormatPr defaultColWidth="9" defaultRowHeight="14.25" x14ac:dyDescent="0.2"/>
  <cols>
    <col min="1" max="1" width="6.125" style="81" customWidth="1"/>
    <col min="2" max="2" width="40.875" style="88" customWidth="1"/>
    <col min="3" max="3" width="12.375" style="89" customWidth="1"/>
    <col min="4" max="16384" width="9" style="81"/>
  </cols>
  <sheetData>
    <row r="2" spans="1:3" s="78" customFormat="1" ht="20.25" x14ac:dyDescent="0.3">
      <c r="A2" s="407" t="s">
        <v>1157</v>
      </c>
      <c r="B2" s="407"/>
      <c r="C2" s="407"/>
    </row>
    <row r="5" spans="1:3" ht="24.75" customHeight="1" x14ac:dyDescent="0.25">
      <c r="A5" s="79" t="s">
        <v>596</v>
      </c>
      <c r="B5" s="79" t="s">
        <v>595</v>
      </c>
      <c r="C5" s="80" t="s">
        <v>594</v>
      </c>
    </row>
    <row r="6" spans="1:3" ht="28.35" customHeight="1" x14ac:dyDescent="0.25">
      <c r="A6" s="82">
        <v>1</v>
      </c>
      <c r="B6" s="83" t="s">
        <v>910</v>
      </c>
      <c r="C6" s="84" t="s">
        <v>600</v>
      </c>
    </row>
    <row r="7" spans="1:3" ht="28.35" customHeight="1" x14ac:dyDescent="0.25">
      <c r="A7" s="82">
        <v>2</v>
      </c>
      <c r="B7" s="83" t="s">
        <v>919</v>
      </c>
      <c r="C7" s="84" t="s">
        <v>601</v>
      </c>
    </row>
    <row r="8" spans="1:3" ht="28.35" customHeight="1" x14ac:dyDescent="0.25">
      <c r="A8" s="82">
        <v>3</v>
      </c>
      <c r="B8" s="83" t="s">
        <v>920</v>
      </c>
      <c r="C8" s="84" t="s">
        <v>602</v>
      </c>
    </row>
    <row r="9" spans="1:3" ht="28.35" customHeight="1" x14ac:dyDescent="0.25">
      <c r="A9" s="82">
        <v>4</v>
      </c>
      <c r="B9" s="83" t="s">
        <v>921</v>
      </c>
      <c r="C9" s="84" t="s">
        <v>603</v>
      </c>
    </row>
    <row r="10" spans="1:3" ht="28.35" customHeight="1" x14ac:dyDescent="0.25">
      <c r="A10" s="82">
        <v>5</v>
      </c>
      <c r="B10" s="83" t="s">
        <v>922</v>
      </c>
      <c r="C10" s="84" t="s">
        <v>1047</v>
      </c>
    </row>
    <row r="11" spans="1:3" ht="28.35" customHeight="1" x14ac:dyDescent="0.25">
      <c r="A11" s="82">
        <v>6</v>
      </c>
      <c r="B11" s="83" t="s">
        <v>923</v>
      </c>
      <c r="C11" s="84" t="s">
        <v>1048</v>
      </c>
    </row>
    <row r="12" spans="1:3" ht="18" customHeight="1" x14ac:dyDescent="0.25">
      <c r="A12" s="401">
        <v>7</v>
      </c>
      <c r="B12" s="83" t="s">
        <v>911</v>
      </c>
      <c r="C12" s="404" t="s">
        <v>604</v>
      </c>
    </row>
    <row r="13" spans="1:3" ht="13.5" customHeight="1" x14ac:dyDescent="0.2">
      <c r="A13" s="402"/>
      <c r="B13" s="85" t="s">
        <v>913</v>
      </c>
      <c r="C13" s="405"/>
    </row>
    <row r="14" spans="1:3" ht="13.5" customHeight="1" x14ac:dyDescent="0.2">
      <c r="A14" s="402"/>
      <c r="B14" s="85" t="s">
        <v>912</v>
      </c>
      <c r="C14" s="405"/>
    </row>
    <row r="15" spans="1:3" ht="13.5" customHeight="1" x14ac:dyDescent="0.2">
      <c r="A15" s="402"/>
      <c r="B15" s="85" t="s">
        <v>914</v>
      </c>
      <c r="C15" s="405"/>
    </row>
    <row r="16" spans="1:3" ht="13.5" customHeight="1" x14ac:dyDescent="0.2">
      <c r="A16" s="403"/>
      <c r="B16" s="85" t="s">
        <v>915</v>
      </c>
      <c r="C16" s="406"/>
    </row>
    <row r="17" spans="1:3" ht="28.35" customHeight="1" x14ac:dyDescent="0.25">
      <c r="A17" s="82">
        <v>8</v>
      </c>
      <c r="B17" s="83" t="s">
        <v>924</v>
      </c>
      <c r="C17" s="84" t="s">
        <v>1049</v>
      </c>
    </row>
    <row r="18" spans="1:3" ht="28.35" customHeight="1" x14ac:dyDescent="0.25">
      <c r="A18" s="82">
        <v>9</v>
      </c>
      <c r="B18" s="83" t="s">
        <v>925</v>
      </c>
      <c r="C18" s="84" t="s">
        <v>916</v>
      </c>
    </row>
    <row r="19" spans="1:3" ht="28.35" customHeight="1" x14ac:dyDescent="0.25">
      <c r="A19" s="82">
        <v>10</v>
      </c>
      <c r="B19" s="83" t="s">
        <v>474</v>
      </c>
      <c r="C19" s="84" t="s">
        <v>932</v>
      </c>
    </row>
    <row r="20" spans="1:3" ht="28.35" customHeight="1" x14ac:dyDescent="0.25">
      <c r="A20" s="82">
        <v>11</v>
      </c>
      <c r="B20" s="83" t="s">
        <v>395</v>
      </c>
      <c r="C20" s="84" t="s">
        <v>933</v>
      </c>
    </row>
    <row r="21" spans="1:3" ht="28.35" customHeight="1" x14ac:dyDescent="0.25">
      <c r="A21" s="82">
        <v>12</v>
      </c>
      <c r="B21" s="83" t="s">
        <v>926</v>
      </c>
      <c r="C21" s="84" t="s">
        <v>917</v>
      </c>
    </row>
    <row r="22" spans="1:3" ht="28.35" customHeight="1" x14ac:dyDescent="0.25">
      <c r="A22" s="82">
        <v>13</v>
      </c>
      <c r="B22" s="83" t="s">
        <v>927</v>
      </c>
      <c r="C22" s="84" t="s">
        <v>918</v>
      </c>
    </row>
    <row r="23" spans="1:3" ht="28.35" customHeight="1" x14ac:dyDescent="0.25">
      <c r="A23" s="82">
        <v>14</v>
      </c>
      <c r="B23" s="83" t="s">
        <v>934</v>
      </c>
      <c r="C23" s="84" t="s">
        <v>935</v>
      </c>
    </row>
    <row r="24" spans="1:3" ht="28.35" customHeight="1" x14ac:dyDescent="0.25">
      <c r="A24" s="82">
        <v>15</v>
      </c>
      <c r="B24" s="83" t="s">
        <v>936</v>
      </c>
      <c r="C24" s="84" t="s">
        <v>935</v>
      </c>
    </row>
    <row r="25" spans="1:3" ht="28.35" customHeight="1" x14ac:dyDescent="0.25">
      <c r="A25" s="82">
        <v>16</v>
      </c>
      <c r="B25" s="83" t="s">
        <v>928</v>
      </c>
      <c r="C25" s="84" t="s">
        <v>1221</v>
      </c>
    </row>
    <row r="26" spans="1:3" ht="40.5" customHeight="1" x14ac:dyDescent="0.25">
      <c r="A26" s="82">
        <v>17</v>
      </c>
      <c r="B26" s="90" t="s">
        <v>937</v>
      </c>
      <c r="C26" s="84" t="s">
        <v>1222</v>
      </c>
    </row>
    <row r="27" spans="1:3" ht="28.35" customHeight="1" x14ac:dyDescent="0.25">
      <c r="A27" s="82">
        <v>18</v>
      </c>
      <c r="B27" s="83" t="s">
        <v>938</v>
      </c>
      <c r="C27" s="84" t="s">
        <v>1223</v>
      </c>
    </row>
    <row r="28" spans="1:3" ht="43.15" customHeight="1" x14ac:dyDescent="0.25">
      <c r="A28" s="82">
        <v>19</v>
      </c>
      <c r="B28" s="90" t="s">
        <v>964</v>
      </c>
      <c r="C28" s="84" t="s">
        <v>1224</v>
      </c>
    </row>
    <row r="29" spans="1:3" ht="35.25" customHeight="1" x14ac:dyDescent="0.25">
      <c r="A29" s="82">
        <v>20</v>
      </c>
      <c r="B29" s="90" t="s">
        <v>965</v>
      </c>
      <c r="C29" s="84"/>
    </row>
    <row r="30" spans="1:3" ht="28.35" customHeight="1" x14ac:dyDescent="0.25">
      <c r="A30" s="82">
        <v>21</v>
      </c>
      <c r="B30" s="83" t="s">
        <v>929</v>
      </c>
      <c r="C30" s="84" t="s">
        <v>1226</v>
      </c>
    </row>
    <row r="31" spans="1:3" ht="28.35" customHeight="1" x14ac:dyDescent="0.25">
      <c r="A31" s="82">
        <v>22</v>
      </c>
      <c r="B31" s="83" t="s">
        <v>930</v>
      </c>
      <c r="C31" s="84" t="s">
        <v>1227</v>
      </c>
    </row>
    <row r="32" spans="1:3" ht="28.35" customHeight="1" x14ac:dyDescent="0.25">
      <c r="A32" s="82">
        <v>23</v>
      </c>
      <c r="B32" s="83" t="s">
        <v>931</v>
      </c>
      <c r="C32" s="84" t="s">
        <v>1225</v>
      </c>
    </row>
    <row r="33" spans="2:3" x14ac:dyDescent="0.2">
      <c r="B33" s="86"/>
      <c r="C33" s="87"/>
    </row>
    <row r="34" spans="2:3" x14ac:dyDescent="0.2">
      <c r="B34" s="86"/>
      <c r="C34" s="87"/>
    </row>
    <row r="35" spans="2:3" x14ac:dyDescent="0.2">
      <c r="B35" s="86"/>
      <c r="C35" s="87"/>
    </row>
    <row r="36" spans="2:3" x14ac:dyDescent="0.2">
      <c r="B36" s="86"/>
      <c r="C36" s="87"/>
    </row>
    <row r="37" spans="2:3" x14ac:dyDescent="0.2">
      <c r="B37" s="86"/>
      <c r="C37" s="87"/>
    </row>
    <row r="38" spans="2:3" x14ac:dyDescent="0.2">
      <c r="B38" s="86"/>
      <c r="C38" s="87"/>
    </row>
    <row r="39" spans="2:3" x14ac:dyDescent="0.2">
      <c r="B39" s="86"/>
      <c r="C39" s="87"/>
    </row>
    <row r="40" spans="2:3" x14ac:dyDescent="0.2">
      <c r="B40" s="86"/>
      <c r="C40" s="87"/>
    </row>
    <row r="41" spans="2:3" x14ac:dyDescent="0.2">
      <c r="B41" s="86"/>
      <c r="C41" s="87"/>
    </row>
    <row r="42" spans="2:3" x14ac:dyDescent="0.2">
      <c r="B42" s="86"/>
      <c r="C42" s="87"/>
    </row>
    <row r="43" spans="2:3" x14ac:dyDescent="0.2">
      <c r="B43" s="86"/>
      <c r="C43" s="87"/>
    </row>
    <row r="44" spans="2:3" x14ac:dyDescent="0.2">
      <c r="B44" s="86"/>
      <c r="C44" s="87"/>
    </row>
    <row r="45" spans="2:3" x14ac:dyDescent="0.2">
      <c r="B45" s="86"/>
      <c r="C45" s="87"/>
    </row>
    <row r="46" spans="2:3" x14ac:dyDescent="0.2">
      <c r="B46" s="86"/>
      <c r="C46" s="87"/>
    </row>
    <row r="47" spans="2:3" x14ac:dyDescent="0.2">
      <c r="B47" s="86"/>
      <c r="C47" s="87"/>
    </row>
    <row r="48" spans="2:3" x14ac:dyDescent="0.2">
      <c r="B48" s="86"/>
      <c r="C48" s="87"/>
    </row>
    <row r="49" spans="2:3" x14ac:dyDescent="0.2">
      <c r="B49" s="86"/>
      <c r="C49" s="87"/>
    </row>
    <row r="50" spans="2:3" x14ac:dyDescent="0.2">
      <c r="B50" s="86"/>
      <c r="C50" s="87"/>
    </row>
    <row r="51" spans="2:3" x14ac:dyDescent="0.2">
      <c r="B51" s="86"/>
      <c r="C51" s="87"/>
    </row>
    <row r="52" spans="2:3" x14ac:dyDescent="0.2">
      <c r="B52" s="86"/>
      <c r="C52" s="87"/>
    </row>
    <row r="53" spans="2:3" x14ac:dyDescent="0.2">
      <c r="B53" s="86"/>
      <c r="C53" s="87"/>
    </row>
    <row r="54" spans="2:3" x14ac:dyDescent="0.2">
      <c r="B54" s="86"/>
      <c r="C54" s="87"/>
    </row>
    <row r="55" spans="2:3" x14ac:dyDescent="0.2">
      <c r="B55" s="86"/>
      <c r="C55" s="87"/>
    </row>
    <row r="56" spans="2:3" x14ac:dyDescent="0.2">
      <c r="B56" s="86"/>
      <c r="C56" s="87"/>
    </row>
    <row r="57" spans="2:3" x14ac:dyDescent="0.2">
      <c r="B57" s="86"/>
      <c r="C57" s="87"/>
    </row>
    <row r="58" spans="2:3" x14ac:dyDescent="0.2">
      <c r="B58" s="86"/>
      <c r="C58" s="87"/>
    </row>
  </sheetData>
  <mergeCells count="3">
    <mergeCell ref="A12:A16"/>
    <mergeCell ref="C12:C16"/>
    <mergeCell ref="A2:C2"/>
  </mergeCells>
  <pageMargins left="0.39370078740157483" right="0.70866141732283472" top="0.74803149606299213" bottom="0.27559055118110237" header="0.31496062992125984" footer="0.31496062992125984"/>
  <pageSetup paperSize="9" scale="95" fitToWidth="0" orientation="portrait" r:id="rId1"/>
  <ignoredErrors>
    <ignoredError sqref="C6:C9 C13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84B-E335-4FBC-B517-DCFDBD6FDA37}">
  <sheetPr codeName="גיליון2"/>
  <dimension ref="A1:XEW55"/>
  <sheetViews>
    <sheetView rightToLeft="1" topLeftCell="A45" workbookViewId="0">
      <selection activeCell="L56" sqref="A1:L56"/>
    </sheetView>
  </sheetViews>
  <sheetFormatPr defaultRowHeight="14.25" x14ac:dyDescent="0.2"/>
  <cols>
    <col min="1" max="2" width="10.875" bestFit="1" customWidth="1"/>
    <col min="3" max="3" width="26.25" bestFit="1" customWidth="1"/>
  </cols>
  <sheetData>
    <row r="1" spans="1:16377" s="124" customFormat="1" ht="47.1" customHeight="1" x14ac:dyDescent="0.2">
      <c r="A1" s="123" t="s">
        <v>596</v>
      </c>
      <c r="B1" s="123" t="s">
        <v>0</v>
      </c>
      <c r="C1" s="123" t="s">
        <v>1</v>
      </c>
      <c r="D1" s="113" t="s">
        <v>992</v>
      </c>
      <c r="E1" s="113" t="s">
        <v>993</v>
      </c>
      <c r="F1" s="113" t="s">
        <v>984</v>
      </c>
      <c r="G1" s="113" t="s">
        <v>982</v>
      </c>
      <c r="H1" s="113" t="s">
        <v>983</v>
      </c>
      <c r="I1" s="113" t="s">
        <v>981</v>
      </c>
      <c r="J1" s="113" t="s">
        <v>851</v>
      </c>
    </row>
    <row r="2" spans="1:16377" s="92" customFormat="1" ht="13.5" customHeight="1" x14ac:dyDescent="0.2">
      <c r="A2" s="91">
        <v>7</v>
      </c>
      <c r="B2" s="91">
        <v>1312500990</v>
      </c>
      <c r="C2" s="91" t="s">
        <v>1111</v>
      </c>
      <c r="D2" s="223">
        <v>126</v>
      </c>
      <c r="E2" s="222">
        <v>541</v>
      </c>
      <c r="F2" s="220">
        <v>300</v>
      </c>
      <c r="G2" s="224">
        <v>0</v>
      </c>
      <c r="H2" s="218">
        <v>0</v>
      </c>
      <c r="I2" s="221">
        <v>0</v>
      </c>
      <c r="J2" s="197" t="s">
        <v>1104</v>
      </c>
      <c r="M2" s="93"/>
      <c r="N2" s="93"/>
      <c r="O2" s="93"/>
    </row>
    <row r="3" spans="1:16377" s="92" customFormat="1" ht="13.5" customHeight="1" x14ac:dyDescent="0.2">
      <c r="A3" s="91">
        <v>20</v>
      </c>
      <c r="B3" s="91">
        <v>1313212920</v>
      </c>
      <c r="C3" s="91" t="s">
        <v>35</v>
      </c>
      <c r="D3" s="223">
        <v>0</v>
      </c>
      <c r="E3" s="222">
        <v>0</v>
      </c>
      <c r="F3" s="219">
        <v>100</v>
      </c>
      <c r="G3" s="222">
        <v>0</v>
      </c>
      <c r="H3" s="229">
        <v>0</v>
      </c>
      <c r="I3" s="194">
        <v>0</v>
      </c>
      <c r="J3" s="197" t="s">
        <v>1124</v>
      </c>
      <c r="M3" s="93"/>
      <c r="N3" s="93"/>
      <c r="O3" s="93"/>
    </row>
    <row r="4" spans="1:16377" s="92" customFormat="1" ht="13.5" customHeight="1" x14ac:dyDescent="0.2">
      <c r="A4" s="91">
        <v>18</v>
      </c>
      <c r="B4" s="91">
        <v>1313201921</v>
      </c>
      <c r="C4" s="91" t="s">
        <v>850</v>
      </c>
      <c r="D4" s="94">
        <v>80</v>
      </c>
      <c r="E4" s="158">
        <v>0</v>
      </c>
      <c r="F4" s="217">
        <v>-200</v>
      </c>
      <c r="G4" s="158">
        <v>0</v>
      </c>
      <c r="H4" s="225">
        <v>0</v>
      </c>
      <c r="I4" s="159">
        <v>0</v>
      </c>
      <c r="J4" s="197" t="s">
        <v>1105</v>
      </c>
      <c r="M4" s="93"/>
      <c r="N4" s="93"/>
      <c r="O4" s="93"/>
    </row>
    <row r="5" spans="1:16377" s="92" customFormat="1" ht="13.5" customHeight="1" x14ac:dyDescent="0.2">
      <c r="A5" s="91">
        <v>33</v>
      </c>
      <c r="B5" s="91">
        <v>1313290920</v>
      </c>
      <c r="C5" s="91" t="s">
        <v>705</v>
      </c>
      <c r="D5" s="94">
        <v>0</v>
      </c>
      <c r="E5" s="158">
        <v>-31</v>
      </c>
      <c r="F5" s="217">
        <v>-40</v>
      </c>
      <c r="G5" s="160">
        <v>4</v>
      </c>
      <c r="H5" s="230">
        <v>0</v>
      </c>
      <c r="I5" s="227">
        <v>0</v>
      </c>
      <c r="J5" s="197" t="s">
        <v>1107</v>
      </c>
      <c r="M5" s="93"/>
      <c r="N5" s="93"/>
      <c r="O5" s="93"/>
    </row>
    <row r="6" spans="1:16377" s="92" customFormat="1" ht="13.5" customHeight="1" x14ac:dyDescent="0.2">
      <c r="A6" s="91">
        <v>42</v>
      </c>
      <c r="B6" s="3">
        <v>1313330920</v>
      </c>
      <c r="C6" s="91" t="s">
        <v>1011</v>
      </c>
      <c r="D6" s="94">
        <v>0</v>
      </c>
      <c r="E6" s="158">
        <v>21</v>
      </c>
      <c r="F6" s="217">
        <f t="shared" ref="F6" si="0">E6*1.02</f>
        <v>21.42</v>
      </c>
      <c r="G6" s="160">
        <v>0</v>
      </c>
      <c r="H6" s="230">
        <v>0</v>
      </c>
      <c r="I6" s="227">
        <v>0</v>
      </c>
      <c r="J6" s="197" t="s">
        <v>1093</v>
      </c>
      <c r="M6" s="93"/>
      <c r="N6" s="93"/>
      <c r="O6" s="93"/>
    </row>
    <row r="7" spans="1:16377" s="92" customFormat="1" ht="13.5" customHeight="1" x14ac:dyDescent="0.2">
      <c r="A7" s="91">
        <v>49</v>
      </c>
      <c r="B7" s="91">
        <v>1313700990</v>
      </c>
      <c r="C7" s="91" t="s">
        <v>42</v>
      </c>
      <c r="D7" s="159">
        <v>0</v>
      </c>
      <c r="E7" s="158">
        <v>0</v>
      </c>
      <c r="F7" s="217">
        <v>50</v>
      </c>
      <c r="G7" s="160">
        <v>0</v>
      </c>
      <c r="H7" s="230">
        <v>0</v>
      </c>
      <c r="I7" s="227">
        <v>0</v>
      </c>
      <c r="J7" s="197" t="s">
        <v>1108</v>
      </c>
      <c r="M7" s="93"/>
      <c r="N7" s="93"/>
      <c r="O7" s="93"/>
    </row>
    <row r="8" spans="1:16377" s="92" customFormat="1" ht="13.5" customHeight="1" x14ac:dyDescent="0.2">
      <c r="A8" s="91">
        <v>52</v>
      </c>
      <c r="B8" s="91">
        <v>1317199921</v>
      </c>
      <c r="C8" s="91" t="s">
        <v>717</v>
      </c>
      <c r="D8" s="94">
        <v>0</v>
      </c>
      <c r="E8" s="158">
        <v>0</v>
      </c>
      <c r="F8" s="217">
        <v>90</v>
      </c>
      <c r="G8" s="160">
        <v>25</v>
      </c>
      <c r="H8" s="230">
        <v>0</v>
      </c>
      <c r="I8" s="227">
        <v>0</v>
      </c>
      <c r="J8" s="197" t="s">
        <v>1109</v>
      </c>
      <c r="M8" s="93"/>
      <c r="N8" s="93"/>
      <c r="O8" s="93"/>
    </row>
    <row r="9" spans="1:16377" x14ac:dyDescent="0.2">
      <c r="A9" s="3">
        <v>15</v>
      </c>
      <c r="B9" s="31">
        <v>1342230930</v>
      </c>
      <c r="C9" s="31" t="s">
        <v>58</v>
      </c>
      <c r="D9" s="72">
        <v>50</v>
      </c>
      <c r="E9" s="63">
        <v>2</v>
      </c>
      <c r="F9" s="226">
        <v>2.04</v>
      </c>
      <c r="G9" s="3">
        <v>0</v>
      </c>
      <c r="H9" s="231">
        <v>0</v>
      </c>
      <c r="I9" s="228">
        <v>0</v>
      </c>
      <c r="J9" s="167" t="s">
        <v>1133</v>
      </c>
    </row>
    <row r="10" spans="1:16377" x14ac:dyDescent="0.2">
      <c r="A10" s="3">
        <v>40</v>
      </c>
      <c r="B10" s="31">
        <v>1343520930</v>
      </c>
      <c r="C10" s="31" t="s">
        <v>72</v>
      </c>
      <c r="D10" s="72">
        <v>60</v>
      </c>
      <c r="E10" s="63">
        <v>59</v>
      </c>
      <c r="F10" s="226">
        <v>123</v>
      </c>
      <c r="G10" s="3">
        <v>0</v>
      </c>
      <c r="H10" s="231">
        <v>0</v>
      </c>
      <c r="I10" s="228">
        <v>0</v>
      </c>
      <c r="J10" s="167" t="s">
        <v>1133</v>
      </c>
    </row>
    <row r="11" spans="1:16377" x14ac:dyDescent="0.2">
      <c r="A11" s="3">
        <v>54</v>
      </c>
      <c r="B11" s="3">
        <v>1844450840</v>
      </c>
      <c r="C11" s="3" t="s">
        <v>84</v>
      </c>
      <c r="D11" s="65">
        <v>82</v>
      </c>
      <c r="E11" s="65">
        <v>76</v>
      </c>
      <c r="F11" s="207">
        <v>80.239999999999995</v>
      </c>
      <c r="G11" s="151">
        <v>0</v>
      </c>
      <c r="H11" s="232">
        <v>0</v>
      </c>
      <c r="I11" s="111">
        <v>0</v>
      </c>
      <c r="J11" s="31" t="s">
        <v>1073</v>
      </c>
    </row>
    <row r="12" spans="1:16377" x14ac:dyDescent="0.2">
      <c r="A12" s="3">
        <v>58</v>
      </c>
      <c r="B12" s="3">
        <v>1844480840</v>
      </c>
      <c r="C12" s="3" t="s">
        <v>86</v>
      </c>
      <c r="D12" s="65">
        <v>19</v>
      </c>
      <c r="E12" s="65">
        <v>5</v>
      </c>
      <c r="F12" s="207">
        <v>13.6</v>
      </c>
      <c r="G12" s="151">
        <v>0</v>
      </c>
      <c r="H12" s="232">
        <v>0</v>
      </c>
      <c r="I12" s="111">
        <v>0</v>
      </c>
      <c r="J12" s="31" t="s">
        <v>1073</v>
      </c>
    </row>
    <row r="13" spans="1:16377" x14ac:dyDescent="0.2">
      <c r="A13" s="3">
        <v>63</v>
      </c>
      <c r="B13" s="3">
        <v>1844494840</v>
      </c>
      <c r="C13" s="3" t="s">
        <v>843</v>
      </c>
      <c r="D13" s="65">
        <v>0</v>
      </c>
      <c r="E13" s="65">
        <v>42</v>
      </c>
      <c r="F13" s="207">
        <v>70.72</v>
      </c>
      <c r="G13" s="151">
        <v>0</v>
      </c>
      <c r="H13" s="232">
        <v>0</v>
      </c>
      <c r="I13" s="111">
        <v>0</v>
      </c>
      <c r="J13" s="31" t="s">
        <v>1073</v>
      </c>
    </row>
    <row r="14" spans="1:16377" x14ac:dyDescent="0.2">
      <c r="A14" s="3">
        <v>65</v>
      </c>
      <c r="B14" s="3">
        <v>1844498840</v>
      </c>
      <c r="C14" s="3" t="s">
        <v>857</v>
      </c>
      <c r="D14" s="65">
        <v>0</v>
      </c>
      <c r="E14" s="65">
        <v>0</v>
      </c>
      <c r="F14" s="207">
        <v>61.199999999999996</v>
      </c>
      <c r="G14" s="151">
        <v>0</v>
      </c>
      <c r="H14" s="232">
        <v>0</v>
      </c>
      <c r="I14" s="111">
        <v>0</v>
      </c>
      <c r="J14" s="31" t="s">
        <v>1073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</row>
    <row r="15" spans="1:16377" x14ac:dyDescent="0.2">
      <c r="A15" s="3">
        <v>66</v>
      </c>
      <c r="B15" s="3">
        <v>1844510840</v>
      </c>
      <c r="C15" s="3" t="s">
        <v>335</v>
      </c>
      <c r="D15" s="65">
        <v>643</v>
      </c>
      <c r="E15" s="65">
        <v>327</v>
      </c>
      <c r="F15" s="207">
        <v>442</v>
      </c>
      <c r="G15" s="151">
        <v>0</v>
      </c>
      <c r="H15" s="232">
        <v>0</v>
      </c>
      <c r="I15" s="3">
        <v>0</v>
      </c>
      <c r="J15" s="31" t="s">
        <v>1073</v>
      </c>
    </row>
    <row r="16" spans="1:16377" x14ac:dyDescent="0.2">
      <c r="A16" s="3">
        <v>82</v>
      </c>
      <c r="B16" s="3">
        <v>1845192840</v>
      </c>
      <c r="C16" s="3" t="s">
        <v>887</v>
      </c>
      <c r="D16" s="65">
        <v>0</v>
      </c>
      <c r="E16" s="65">
        <v>0</v>
      </c>
      <c r="F16" s="207">
        <v>45</v>
      </c>
      <c r="G16" s="151">
        <v>0</v>
      </c>
      <c r="H16" s="232">
        <v>0</v>
      </c>
      <c r="I16" s="3">
        <v>0</v>
      </c>
      <c r="J16" s="31" t="str">
        <f>J15</f>
        <v>לסגור לפי דוח הקצבה</v>
      </c>
    </row>
    <row r="17" spans="1:10" x14ac:dyDescent="0.2">
      <c r="A17" s="3">
        <v>6</v>
      </c>
      <c r="B17" s="170">
        <v>1712200780</v>
      </c>
      <c r="C17" s="18" t="s">
        <v>211</v>
      </c>
      <c r="D17" s="25">
        <v>0</v>
      </c>
      <c r="E17" s="72">
        <f t="shared" ref="E17:E34" si="1">D17/2</f>
        <v>0</v>
      </c>
      <c r="F17" s="100">
        <v>0</v>
      </c>
      <c r="G17" s="25">
        <v>0</v>
      </c>
      <c r="H17" s="25">
        <v>0</v>
      </c>
      <c r="I17" s="25">
        <v>0</v>
      </c>
      <c r="J17" s="190" t="s">
        <v>1096</v>
      </c>
    </row>
    <row r="18" spans="1:10" x14ac:dyDescent="0.2">
      <c r="A18" s="3">
        <v>7</v>
      </c>
      <c r="B18" s="170">
        <v>1712310780</v>
      </c>
      <c r="C18" s="18" t="s">
        <v>839</v>
      </c>
      <c r="D18" s="25">
        <v>17</v>
      </c>
      <c r="E18" s="72">
        <f t="shared" si="1"/>
        <v>8.5</v>
      </c>
      <c r="F18" s="100">
        <v>10</v>
      </c>
      <c r="G18" s="25">
        <v>0</v>
      </c>
      <c r="H18" s="25">
        <v>0</v>
      </c>
      <c r="I18" s="25">
        <v>0</v>
      </c>
      <c r="J18" s="190" t="s">
        <v>1097</v>
      </c>
    </row>
    <row r="19" spans="1:10" x14ac:dyDescent="0.2">
      <c r="A19" s="3">
        <v>11</v>
      </c>
      <c r="B19" s="167">
        <v>1721300780</v>
      </c>
      <c r="C19" s="18" t="s">
        <v>222</v>
      </c>
      <c r="D19" s="72">
        <v>0</v>
      </c>
      <c r="E19" s="72">
        <f t="shared" si="1"/>
        <v>0</v>
      </c>
      <c r="F19" s="100">
        <v>0</v>
      </c>
      <c r="G19" s="72">
        <v>0</v>
      </c>
      <c r="H19" s="25">
        <v>0</v>
      </c>
      <c r="I19" s="25">
        <v>0</v>
      </c>
      <c r="J19" s="190" t="s">
        <v>1096</v>
      </c>
    </row>
    <row r="20" spans="1:10" x14ac:dyDescent="0.2">
      <c r="A20" s="3">
        <v>13</v>
      </c>
      <c r="B20" s="170">
        <v>1722100780</v>
      </c>
      <c r="C20" s="18" t="s">
        <v>223</v>
      </c>
      <c r="D20" s="25">
        <v>0</v>
      </c>
      <c r="E20" s="72">
        <f t="shared" si="1"/>
        <v>0</v>
      </c>
      <c r="F20" s="100">
        <v>0</v>
      </c>
      <c r="G20" s="25">
        <v>0</v>
      </c>
      <c r="H20" s="25">
        <v>0</v>
      </c>
      <c r="I20" s="25">
        <v>0</v>
      </c>
      <c r="J20" s="190" t="s">
        <v>1096</v>
      </c>
    </row>
    <row r="21" spans="1:10" x14ac:dyDescent="0.2">
      <c r="A21" s="3">
        <v>24</v>
      </c>
      <c r="B21" s="170">
        <v>1761000780</v>
      </c>
      <c r="C21" s="18" t="s">
        <v>249</v>
      </c>
      <c r="D21" s="61">
        <v>0</v>
      </c>
      <c r="E21" s="72">
        <f t="shared" si="1"/>
        <v>0</v>
      </c>
      <c r="F21" s="100">
        <v>0</v>
      </c>
      <c r="G21" s="25">
        <v>0</v>
      </c>
      <c r="H21" s="25">
        <v>0</v>
      </c>
      <c r="I21" s="25">
        <v>0</v>
      </c>
      <c r="J21" s="190" t="s">
        <v>1096</v>
      </c>
    </row>
    <row r="22" spans="1:10" x14ac:dyDescent="0.2">
      <c r="A22" s="3">
        <v>25</v>
      </c>
      <c r="B22" s="170">
        <v>1761100780</v>
      </c>
      <c r="C22" s="18" t="s">
        <v>251</v>
      </c>
      <c r="D22" s="61">
        <v>0</v>
      </c>
      <c r="E22" s="72">
        <f t="shared" si="1"/>
        <v>0</v>
      </c>
      <c r="F22" s="100">
        <v>0</v>
      </c>
      <c r="G22" s="72">
        <v>0</v>
      </c>
      <c r="H22" s="25">
        <v>0</v>
      </c>
      <c r="I22" s="25">
        <v>0</v>
      </c>
      <c r="J22" s="190" t="s">
        <v>1096</v>
      </c>
    </row>
    <row r="23" spans="1:10" x14ac:dyDescent="0.2">
      <c r="A23" s="3">
        <v>30</v>
      </c>
      <c r="B23" s="170">
        <v>1772000780</v>
      </c>
      <c r="C23" s="18" t="s">
        <v>488</v>
      </c>
      <c r="D23" s="61">
        <v>0</v>
      </c>
      <c r="E23" s="72">
        <f t="shared" si="1"/>
        <v>0</v>
      </c>
      <c r="F23" s="100">
        <v>0</v>
      </c>
      <c r="G23" s="25">
        <v>0</v>
      </c>
      <c r="H23" s="25">
        <v>0</v>
      </c>
      <c r="I23" s="25">
        <v>0</v>
      </c>
      <c r="J23" s="190" t="s">
        <v>1096</v>
      </c>
    </row>
    <row r="24" spans="1:10" x14ac:dyDescent="0.2">
      <c r="A24" s="3">
        <v>41</v>
      </c>
      <c r="B24" s="33">
        <v>1813216780</v>
      </c>
      <c r="C24" s="24" t="s">
        <v>490</v>
      </c>
      <c r="D24" s="64">
        <v>17</v>
      </c>
      <c r="E24" s="72">
        <f t="shared" si="1"/>
        <v>8.5</v>
      </c>
      <c r="F24" s="102">
        <v>0</v>
      </c>
      <c r="G24" s="25">
        <v>0</v>
      </c>
      <c r="H24" s="25">
        <v>0</v>
      </c>
      <c r="I24" s="25">
        <v>0</v>
      </c>
      <c r="J24" s="190" t="s">
        <v>1093</v>
      </c>
    </row>
    <row r="25" spans="1:10" x14ac:dyDescent="0.2">
      <c r="A25" s="3">
        <v>42</v>
      </c>
      <c r="B25" s="33">
        <v>1813217780</v>
      </c>
      <c r="C25" s="24" t="s">
        <v>491</v>
      </c>
      <c r="D25" s="64">
        <v>15</v>
      </c>
      <c r="E25" s="72">
        <f t="shared" si="1"/>
        <v>7.5</v>
      </c>
      <c r="F25" s="102">
        <v>0</v>
      </c>
      <c r="G25" s="25">
        <v>0</v>
      </c>
      <c r="H25" s="25">
        <v>0</v>
      </c>
      <c r="I25" s="25">
        <v>0</v>
      </c>
      <c r="J25" s="190" t="s">
        <v>1093</v>
      </c>
    </row>
    <row r="26" spans="1:10" x14ac:dyDescent="0.2">
      <c r="A26" s="3">
        <v>43</v>
      </c>
      <c r="B26" s="33">
        <v>1813218780</v>
      </c>
      <c r="C26" s="24" t="s">
        <v>492</v>
      </c>
      <c r="D26" s="64">
        <f>(227*6.16*6)/1000</f>
        <v>8.38992</v>
      </c>
      <c r="E26" s="72">
        <f t="shared" si="1"/>
        <v>4.19496</v>
      </c>
      <c r="F26" s="102">
        <v>0</v>
      </c>
      <c r="G26" s="25">
        <v>0</v>
      </c>
      <c r="H26" s="25">
        <v>0</v>
      </c>
      <c r="I26" s="25">
        <v>0</v>
      </c>
      <c r="J26" s="190" t="s">
        <v>1093</v>
      </c>
    </row>
    <row r="27" spans="1:10" x14ac:dyDescent="0.2">
      <c r="A27" s="3">
        <v>44</v>
      </c>
      <c r="B27" s="33">
        <v>1813219780</v>
      </c>
      <c r="C27" s="24" t="s">
        <v>493</v>
      </c>
      <c r="D27" s="64">
        <f>(498*6.16*6)/1000</f>
        <v>18.406080000000003</v>
      </c>
      <c r="E27" s="72">
        <f t="shared" si="1"/>
        <v>9.2030400000000014</v>
      </c>
      <c r="F27" s="102">
        <v>0</v>
      </c>
      <c r="G27" s="25">
        <v>0</v>
      </c>
      <c r="H27" s="25">
        <v>0</v>
      </c>
      <c r="I27" s="25">
        <v>0</v>
      </c>
      <c r="J27" s="190" t="s">
        <v>1093</v>
      </c>
    </row>
    <row r="28" spans="1:10" x14ac:dyDescent="0.2">
      <c r="A28" s="3">
        <v>46</v>
      </c>
      <c r="B28" s="33">
        <v>1813221780</v>
      </c>
      <c r="C28" s="24" t="s">
        <v>494</v>
      </c>
      <c r="D28" s="64">
        <f>(346*6.16*6)/1000</f>
        <v>12.78816</v>
      </c>
      <c r="E28" s="72">
        <f t="shared" si="1"/>
        <v>6.3940799999999998</v>
      </c>
      <c r="F28" s="102">
        <v>0</v>
      </c>
      <c r="G28" s="25">
        <v>0</v>
      </c>
      <c r="H28" s="25">
        <v>0</v>
      </c>
      <c r="I28" s="25">
        <v>0</v>
      </c>
      <c r="J28" s="190" t="s">
        <v>1093</v>
      </c>
    </row>
    <row r="29" spans="1:10" x14ac:dyDescent="0.2">
      <c r="A29" s="3">
        <v>47</v>
      </c>
      <c r="B29" s="33">
        <v>1813222780</v>
      </c>
      <c r="C29" s="24" t="s">
        <v>495</v>
      </c>
      <c r="D29" s="64">
        <f>(300*6.16*6)/1000</f>
        <v>11.087999999999999</v>
      </c>
      <c r="E29" s="72">
        <f t="shared" si="1"/>
        <v>5.5439999999999996</v>
      </c>
      <c r="F29" s="102">
        <v>0</v>
      </c>
      <c r="G29" s="25">
        <v>0</v>
      </c>
      <c r="H29" s="25">
        <v>0</v>
      </c>
      <c r="I29" s="25">
        <v>0</v>
      </c>
      <c r="J29" s="190" t="s">
        <v>1093</v>
      </c>
    </row>
    <row r="30" spans="1:10" x14ac:dyDescent="0.2">
      <c r="A30" s="3">
        <v>48</v>
      </c>
      <c r="B30" s="33">
        <v>1813223780</v>
      </c>
      <c r="C30" s="24" t="s">
        <v>496</v>
      </c>
      <c r="D30" s="64">
        <f>(171*6.16*6)/1000</f>
        <v>6.3201600000000004</v>
      </c>
      <c r="E30" s="72">
        <f t="shared" si="1"/>
        <v>3.1600800000000002</v>
      </c>
      <c r="F30" s="102">
        <v>0</v>
      </c>
      <c r="G30" s="25">
        <v>0</v>
      </c>
      <c r="H30" s="25">
        <v>0</v>
      </c>
      <c r="I30" s="25">
        <v>0</v>
      </c>
      <c r="J30" s="190" t="s">
        <v>1093</v>
      </c>
    </row>
    <row r="31" spans="1:10" x14ac:dyDescent="0.2">
      <c r="A31" s="3">
        <v>49</v>
      </c>
      <c r="B31" s="33">
        <v>1813224780</v>
      </c>
      <c r="C31" s="24" t="s">
        <v>497</v>
      </c>
      <c r="D31" s="64">
        <f>(601*6.16*6)/1000</f>
        <v>22.212960000000002</v>
      </c>
      <c r="E31" s="72">
        <f t="shared" si="1"/>
        <v>11.106480000000001</v>
      </c>
      <c r="F31" s="102">
        <v>0</v>
      </c>
      <c r="G31" s="25">
        <v>0</v>
      </c>
      <c r="H31" s="25">
        <v>0</v>
      </c>
      <c r="I31" s="25">
        <v>0</v>
      </c>
      <c r="J31" s="190" t="s">
        <v>1093</v>
      </c>
    </row>
    <row r="32" spans="1:10" x14ac:dyDescent="0.2">
      <c r="A32" s="3">
        <v>50</v>
      </c>
      <c r="B32" s="33">
        <v>1813225780</v>
      </c>
      <c r="C32" s="24" t="s">
        <v>498</v>
      </c>
      <c r="D32" s="64">
        <f>(528*6.16*6)/1000</f>
        <v>19.514880000000002</v>
      </c>
      <c r="E32" s="72">
        <f t="shared" si="1"/>
        <v>9.7574400000000008</v>
      </c>
      <c r="F32" s="102">
        <v>0</v>
      </c>
      <c r="G32" s="25">
        <v>0</v>
      </c>
      <c r="H32" s="25">
        <v>0</v>
      </c>
      <c r="I32" s="25">
        <v>0</v>
      </c>
      <c r="J32" s="190" t="s">
        <v>1093</v>
      </c>
    </row>
    <row r="33" spans="1:10" x14ac:dyDescent="0.2">
      <c r="A33" s="3">
        <v>68</v>
      </c>
      <c r="B33" s="33">
        <v>1822200780</v>
      </c>
      <c r="C33" s="191" t="s">
        <v>299</v>
      </c>
      <c r="D33" s="61">
        <v>0</v>
      </c>
      <c r="E33" s="72">
        <f t="shared" si="1"/>
        <v>0</v>
      </c>
      <c r="F33" s="102">
        <v>0</v>
      </c>
      <c r="G33" s="25">
        <v>0</v>
      </c>
      <c r="H33" s="25"/>
      <c r="I33" s="25"/>
      <c r="J33" s="190" t="s">
        <v>1096</v>
      </c>
    </row>
    <row r="34" spans="1:10" x14ac:dyDescent="0.2">
      <c r="A34" s="3">
        <v>73</v>
      </c>
      <c r="B34" s="3">
        <v>1822400780</v>
      </c>
      <c r="C34" s="192" t="s">
        <v>302</v>
      </c>
      <c r="D34" s="25">
        <v>0</v>
      </c>
      <c r="E34" s="72">
        <f t="shared" si="1"/>
        <v>0</v>
      </c>
      <c r="F34" s="100">
        <v>0</v>
      </c>
      <c r="G34" s="25">
        <v>0</v>
      </c>
      <c r="H34" s="25">
        <v>0</v>
      </c>
      <c r="I34" s="25">
        <v>0</v>
      </c>
      <c r="J34" s="190" t="s">
        <v>1096</v>
      </c>
    </row>
    <row r="35" spans="1:10" x14ac:dyDescent="0.2">
      <c r="A35" s="3">
        <v>74</v>
      </c>
      <c r="B35" s="3">
        <v>1824110780</v>
      </c>
      <c r="C35" s="193" t="s">
        <v>592</v>
      </c>
      <c r="D35" s="25">
        <v>0</v>
      </c>
      <c r="E35" s="72">
        <f t="shared" ref="E35:E39" si="2">D35/2</f>
        <v>0</v>
      </c>
      <c r="F35" s="100">
        <v>0</v>
      </c>
      <c r="G35" s="25">
        <v>0</v>
      </c>
      <c r="H35" s="25"/>
      <c r="I35" s="25">
        <v>0</v>
      </c>
      <c r="J35" s="190" t="s">
        <v>1096</v>
      </c>
    </row>
    <row r="36" spans="1:10" x14ac:dyDescent="0.2">
      <c r="A36" s="3">
        <v>83</v>
      </c>
      <c r="B36" s="33">
        <v>1826400780</v>
      </c>
      <c r="C36" s="191" t="s">
        <v>311</v>
      </c>
      <c r="D36" s="61">
        <v>0</v>
      </c>
      <c r="E36" s="72">
        <f t="shared" si="2"/>
        <v>0</v>
      </c>
      <c r="F36" s="100">
        <v>0</v>
      </c>
      <c r="G36" s="25">
        <v>0</v>
      </c>
      <c r="H36" s="25">
        <v>0</v>
      </c>
      <c r="I36" s="25">
        <v>0</v>
      </c>
      <c r="J36" s="190" t="s">
        <v>1096</v>
      </c>
    </row>
    <row r="37" spans="1:10" ht="28.5" x14ac:dyDescent="0.2">
      <c r="A37" s="3">
        <v>84</v>
      </c>
      <c r="B37" s="33">
        <v>1826410780</v>
      </c>
      <c r="C37" s="193" t="s">
        <v>460</v>
      </c>
      <c r="D37" s="61">
        <v>0</v>
      </c>
      <c r="E37" s="72">
        <f t="shared" si="2"/>
        <v>0</v>
      </c>
      <c r="F37" s="100">
        <v>0</v>
      </c>
      <c r="G37" s="25">
        <v>0</v>
      </c>
      <c r="H37" s="25"/>
      <c r="I37" s="25"/>
      <c r="J37" s="190" t="s">
        <v>1096</v>
      </c>
    </row>
    <row r="38" spans="1:10" ht="28.5" x14ac:dyDescent="0.2">
      <c r="A38" s="3">
        <v>90</v>
      </c>
      <c r="B38" s="34">
        <v>1827300780</v>
      </c>
      <c r="C38" s="198" t="s">
        <v>1068</v>
      </c>
      <c r="D38" s="61">
        <v>10</v>
      </c>
      <c r="E38" s="72">
        <f t="shared" si="2"/>
        <v>5</v>
      </c>
      <c r="F38" s="100">
        <v>10</v>
      </c>
      <c r="G38" s="25">
        <v>0</v>
      </c>
      <c r="H38" s="25">
        <v>0</v>
      </c>
      <c r="I38" s="25">
        <v>0</v>
      </c>
      <c r="J38" s="190" t="s">
        <v>1110</v>
      </c>
    </row>
    <row r="39" spans="1:10" x14ac:dyDescent="0.2">
      <c r="A39" s="3">
        <v>105</v>
      </c>
      <c r="B39" s="19">
        <v>1939000780</v>
      </c>
      <c r="C39" s="191" t="s">
        <v>367</v>
      </c>
      <c r="D39" s="25">
        <v>0</v>
      </c>
      <c r="E39" s="72">
        <f t="shared" si="2"/>
        <v>0</v>
      </c>
      <c r="F39" s="100">
        <v>1</v>
      </c>
      <c r="G39" s="25">
        <v>0</v>
      </c>
      <c r="H39" s="25">
        <v>0</v>
      </c>
      <c r="I39" s="25">
        <v>0</v>
      </c>
      <c r="J39" s="190" t="s">
        <v>1096</v>
      </c>
    </row>
    <row r="40" spans="1:10" ht="18" customHeight="1" x14ac:dyDescent="0.2">
      <c r="A40" s="3">
        <v>8</v>
      </c>
      <c r="B40" s="3">
        <v>1611600782</v>
      </c>
      <c r="C40" s="191" t="s">
        <v>504</v>
      </c>
      <c r="D40" s="65">
        <v>0</v>
      </c>
      <c r="E40" s="65">
        <v>0</v>
      </c>
      <c r="F40" s="65">
        <v>0</v>
      </c>
      <c r="G40" s="98">
        <v>0</v>
      </c>
      <c r="H40" s="70">
        <v>0</v>
      </c>
      <c r="I40" s="3">
        <v>0</v>
      </c>
      <c r="J40" s="167" t="s">
        <v>1096</v>
      </c>
    </row>
    <row r="41" spans="1:10" ht="18" customHeight="1" x14ac:dyDescent="0.2">
      <c r="A41" s="3">
        <v>12</v>
      </c>
      <c r="B41" s="3">
        <v>1613100782</v>
      </c>
      <c r="C41" s="191" t="s">
        <v>507</v>
      </c>
      <c r="D41" s="65">
        <v>2</v>
      </c>
      <c r="E41" s="65">
        <v>0</v>
      </c>
      <c r="F41" s="65">
        <v>1</v>
      </c>
      <c r="G41" s="72">
        <v>0</v>
      </c>
      <c r="H41" s="25">
        <v>0</v>
      </c>
      <c r="I41" s="3">
        <v>0</v>
      </c>
      <c r="J41" s="167" t="s">
        <v>1096</v>
      </c>
    </row>
    <row r="42" spans="1:10" ht="18" customHeight="1" x14ac:dyDescent="0.2">
      <c r="A42" s="3">
        <v>18</v>
      </c>
      <c r="B42" s="3">
        <v>1613700782</v>
      </c>
      <c r="C42" s="191" t="s">
        <v>173</v>
      </c>
      <c r="D42" s="65">
        <v>0</v>
      </c>
      <c r="E42" s="65">
        <v>1</v>
      </c>
      <c r="F42" s="65">
        <v>2</v>
      </c>
      <c r="G42" s="72">
        <v>0</v>
      </c>
      <c r="H42" s="25">
        <v>0</v>
      </c>
      <c r="I42" s="3">
        <v>0</v>
      </c>
      <c r="J42" s="167" t="s">
        <v>1096</v>
      </c>
    </row>
    <row r="43" spans="1:10" ht="18" customHeight="1" x14ac:dyDescent="0.2">
      <c r="A43" s="3">
        <v>25</v>
      </c>
      <c r="B43" s="3">
        <v>1621200782</v>
      </c>
      <c r="C43" s="191" t="s">
        <v>1051</v>
      </c>
      <c r="D43" s="65">
        <v>1</v>
      </c>
      <c r="E43" s="65">
        <v>0</v>
      </c>
      <c r="F43" s="65">
        <v>0</v>
      </c>
      <c r="G43" s="98">
        <v>0</v>
      </c>
      <c r="H43" s="70"/>
      <c r="I43" s="3"/>
      <c r="J43" s="167" t="s">
        <v>1096</v>
      </c>
    </row>
    <row r="44" spans="1:10" ht="18" customHeight="1" x14ac:dyDescent="0.2">
      <c r="A44" s="3">
        <v>26</v>
      </c>
      <c r="B44" s="3">
        <v>1621210782</v>
      </c>
      <c r="C44" s="191" t="s">
        <v>1051</v>
      </c>
      <c r="D44" s="65">
        <v>3</v>
      </c>
      <c r="E44" s="65">
        <v>0</v>
      </c>
      <c r="F44" s="65">
        <v>0</v>
      </c>
      <c r="G44" s="98">
        <v>0</v>
      </c>
      <c r="H44" s="70"/>
      <c r="I44" s="3"/>
      <c r="J44" s="167" t="s">
        <v>1096</v>
      </c>
    </row>
    <row r="45" spans="1:10" ht="18" customHeight="1" x14ac:dyDescent="0.2">
      <c r="A45" s="3">
        <v>57</v>
      </c>
      <c r="B45" s="8">
        <v>1812240782</v>
      </c>
      <c r="C45" s="24" t="s">
        <v>533</v>
      </c>
      <c r="D45" s="207">
        <v>9</v>
      </c>
      <c r="E45" s="207">
        <v>1</v>
      </c>
      <c r="F45" s="62">
        <v>0</v>
      </c>
      <c r="G45" s="72">
        <v>0</v>
      </c>
      <c r="H45" s="25">
        <v>0</v>
      </c>
      <c r="I45" s="3">
        <v>0</v>
      </c>
      <c r="J45" s="167" t="s">
        <v>1112</v>
      </c>
    </row>
    <row r="46" spans="1:10" ht="18" customHeight="1" x14ac:dyDescent="0.2">
      <c r="A46" s="3">
        <v>58</v>
      </c>
      <c r="B46" s="8">
        <v>1812250782</v>
      </c>
      <c r="C46" s="24" t="s">
        <v>534</v>
      </c>
      <c r="D46" s="207">
        <v>19</v>
      </c>
      <c r="E46" s="207">
        <v>0</v>
      </c>
      <c r="F46" s="62">
        <v>0</v>
      </c>
      <c r="G46" s="109">
        <v>0</v>
      </c>
      <c r="H46" s="157">
        <v>0</v>
      </c>
      <c r="I46" s="3">
        <v>0</v>
      </c>
      <c r="J46" s="167" t="s">
        <v>1112</v>
      </c>
    </row>
    <row r="47" spans="1:10" ht="18" customHeight="1" x14ac:dyDescent="0.2">
      <c r="A47" s="3">
        <v>59</v>
      </c>
      <c r="B47" s="8">
        <v>1812260782</v>
      </c>
      <c r="C47" s="24" t="s">
        <v>535</v>
      </c>
      <c r="D47" s="207">
        <v>39</v>
      </c>
      <c r="E47" s="207">
        <v>1</v>
      </c>
      <c r="F47" s="62">
        <v>0</v>
      </c>
      <c r="G47" s="72">
        <v>0</v>
      </c>
      <c r="H47" s="25">
        <v>0</v>
      </c>
      <c r="I47" s="3">
        <v>0</v>
      </c>
      <c r="J47" s="167" t="s">
        <v>1112</v>
      </c>
    </row>
    <row r="48" spans="1:10" ht="18" customHeight="1" x14ac:dyDescent="0.2">
      <c r="A48" s="3">
        <v>61</v>
      </c>
      <c r="B48" s="8">
        <v>1812280782</v>
      </c>
      <c r="C48" s="24" t="s">
        <v>537</v>
      </c>
      <c r="D48" s="207">
        <v>14</v>
      </c>
      <c r="E48" s="207">
        <v>0</v>
      </c>
      <c r="F48" s="62">
        <v>0</v>
      </c>
      <c r="G48" s="109">
        <v>0</v>
      </c>
      <c r="H48" s="109">
        <v>0</v>
      </c>
      <c r="I48" s="31">
        <v>0</v>
      </c>
      <c r="J48" s="167" t="s">
        <v>1112</v>
      </c>
    </row>
    <row r="49" spans="1:12" ht="18" customHeight="1" x14ac:dyDescent="0.2">
      <c r="A49" s="3">
        <v>62</v>
      </c>
      <c r="B49" s="8">
        <v>1812290782</v>
      </c>
      <c r="C49" s="24" t="s">
        <v>538</v>
      </c>
      <c r="D49" s="207">
        <v>13</v>
      </c>
      <c r="E49" s="207">
        <v>1</v>
      </c>
      <c r="F49" s="62">
        <v>0</v>
      </c>
      <c r="G49" s="109">
        <v>0</v>
      </c>
      <c r="H49" s="109">
        <v>0</v>
      </c>
      <c r="I49" s="31">
        <v>0</v>
      </c>
      <c r="J49" s="167" t="s">
        <v>1112</v>
      </c>
    </row>
    <row r="50" spans="1:12" ht="18" customHeight="1" x14ac:dyDescent="0.2">
      <c r="A50" s="3">
        <v>66</v>
      </c>
      <c r="B50" s="8">
        <v>1812294782</v>
      </c>
      <c r="C50" s="24" t="s">
        <v>540</v>
      </c>
      <c r="D50" s="207">
        <v>5</v>
      </c>
      <c r="E50" s="62">
        <v>0</v>
      </c>
      <c r="F50" s="62">
        <v>3</v>
      </c>
      <c r="G50" s="72">
        <v>0</v>
      </c>
      <c r="H50" s="72">
        <v>0</v>
      </c>
      <c r="I50" s="31">
        <v>0</v>
      </c>
      <c r="J50" s="167" t="s">
        <v>1094</v>
      </c>
    </row>
    <row r="51" spans="1:12" ht="18" customHeight="1" x14ac:dyDescent="0.2">
      <c r="A51" s="3">
        <v>67</v>
      </c>
      <c r="B51" s="8">
        <v>1812295782</v>
      </c>
      <c r="C51" s="24" t="s">
        <v>541</v>
      </c>
      <c r="D51" s="207">
        <v>54</v>
      </c>
      <c r="E51" s="65">
        <v>0</v>
      </c>
      <c r="F51" s="62">
        <v>0</v>
      </c>
      <c r="G51" s="72">
        <v>0</v>
      </c>
      <c r="H51" s="72">
        <v>0</v>
      </c>
      <c r="I51" s="31">
        <v>0</v>
      </c>
      <c r="J51" s="167" t="s">
        <v>1113</v>
      </c>
    </row>
    <row r="52" spans="1:12" ht="18" customHeight="1" x14ac:dyDescent="0.2">
      <c r="A52" s="3">
        <v>70</v>
      </c>
      <c r="B52" s="8">
        <v>1812300782</v>
      </c>
      <c r="C52" s="24" t="s">
        <v>542</v>
      </c>
      <c r="D52" s="207">
        <v>20</v>
      </c>
      <c r="E52" s="62">
        <v>0</v>
      </c>
      <c r="F52" s="62">
        <v>0</v>
      </c>
      <c r="G52" s="72">
        <v>0</v>
      </c>
      <c r="H52" s="72">
        <v>0</v>
      </c>
      <c r="I52" s="31">
        <v>0</v>
      </c>
      <c r="J52" s="167" t="s">
        <v>1112</v>
      </c>
    </row>
    <row r="53" spans="1:12" ht="18" customHeight="1" x14ac:dyDescent="0.2">
      <c r="A53" s="3">
        <v>84</v>
      </c>
      <c r="B53" s="3">
        <v>1813200782</v>
      </c>
      <c r="C53" s="150" t="s">
        <v>270</v>
      </c>
      <c r="D53" s="65">
        <v>0</v>
      </c>
      <c r="E53" s="65">
        <v>0</v>
      </c>
      <c r="F53" s="65">
        <v>7</v>
      </c>
      <c r="G53" s="72">
        <v>0</v>
      </c>
      <c r="H53" s="25">
        <v>0</v>
      </c>
      <c r="I53" s="3">
        <v>0</v>
      </c>
      <c r="J53" s="167" t="s">
        <v>1114</v>
      </c>
    </row>
    <row r="54" spans="1:12" ht="18" customHeight="1" x14ac:dyDescent="0.2">
      <c r="A54" s="3">
        <v>104</v>
      </c>
      <c r="B54" s="3">
        <v>1823500782</v>
      </c>
      <c r="C54" s="152" t="s">
        <v>1052</v>
      </c>
      <c r="D54" s="65">
        <v>0</v>
      </c>
      <c r="E54" s="65">
        <v>0</v>
      </c>
      <c r="F54" s="207">
        <v>300</v>
      </c>
      <c r="G54" s="98">
        <v>0</v>
      </c>
      <c r="H54" s="98">
        <v>0</v>
      </c>
      <c r="I54" s="180">
        <v>0</v>
      </c>
      <c r="J54" s="205" t="s">
        <v>1086</v>
      </c>
      <c r="K54" s="208" t="s">
        <v>1119</v>
      </c>
    </row>
    <row r="55" spans="1:12" x14ac:dyDescent="0.2">
      <c r="A55" s="39">
        <v>23</v>
      </c>
      <c r="B55" s="188">
        <v>1824300810</v>
      </c>
      <c r="C55" s="60" t="s">
        <v>305</v>
      </c>
      <c r="D55" s="155">
        <v>130</v>
      </c>
      <c r="E55" s="3">
        <v>0</v>
      </c>
      <c r="F55" s="3">
        <v>0</v>
      </c>
      <c r="G55" s="3">
        <v>0</v>
      </c>
      <c r="H55" s="187">
        <v>0</v>
      </c>
      <c r="I55" s="187">
        <v>0</v>
      </c>
      <c r="J55" s="206" t="s">
        <v>1086</v>
      </c>
      <c r="K55" s="110"/>
      <c r="L55" s="110"/>
    </row>
  </sheetData>
  <autoFilter ref="A1:J10" xr:uid="{CA10884B-E335-4FBC-B517-DCFDBD6FDA3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>
    <pageSetUpPr fitToPage="1"/>
  </sheetPr>
  <dimension ref="A2:W216"/>
  <sheetViews>
    <sheetView rightToLeft="1" topLeftCell="A52" zoomScaleNormal="100" zoomScaleSheetLayoutView="70" workbookViewId="0">
      <selection activeCell="K85" sqref="K85"/>
    </sheetView>
  </sheetViews>
  <sheetFormatPr defaultColWidth="8.75" defaultRowHeight="14.25" x14ac:dyDescent="0.2"/>
  <cols>
    <col min="1" max="1" width="3.875" style="117" bestFit="1" customWidth="1"/>
    <col min="2" max="2" width="10.875" style="117" bestFit="1" customWidth="1"/>
    <col min="3" max="3" width="30.75" style="130" bestFit="1" customWidth="1"/>
    <col min="4" max="4" width="17.375" style="171" customWidth="1"/>
    <col min="5" max="5" width="11.75" style="117" bestFit="1" customWidth="1"/>
    <col min="6" max="8" width="11.75" style="117" customWidth="1"/>
    <col min="9" max="9" width="13.75" style="117" bestFit="1" customWidth="1"/>
    <col min="10" max="10" width="12.625" style="117" bestFit="1" customWidth="1"/>
    <col min="11" max="11" width="8.75" style="117" bestFit="1" customWidth="1"/>
    <col min="12" max="12" width="7.625" style="117" bestFit="1" customWidth="1"/>
    <col min="13" max="13" width="28.5" style="117" bestFit="1" customWidth="1"/>
    <col min="14" max="16384" width="8.75" style="117"/>
  </cols>
  <sheetData>
    <row r="2" spans="1:23" ht="23.1" customHeight="1" x14ac:dyDescent="0.2">
      <c r="A2" s="408" t="s">
        <v>1158</v>
      </c>
      <c r="B2" s="408"/>
      <c r="C2" s="408"/>
      <c r="D2" s="408"/>
      <c r="E2" s="408"/>
      <c r="F2" s="408"/>
      <c r="G2" s="408"/>
      <c r="H2" s="408"/>
      <c r="I2" s="269"/>
      <c r="J2" s="269"/>
      <c r="K2" s="269"/>
      <c r="L2" s="269"/>
      <c r="M2" s="269"/>
    </row>
    <row r="3" spans="1:23" ht="10.15" customHeight="1" x14ac:dyDescent="0.2">
      <c r="A3" s="172"/>
      <c r="B3" s="172"/>
      <c r="C3" s="173"/>
      <c r="D3" s="174"/>
      <c r="E3" s="172"/>
      <c r="F3" s="172"/>
      <c r="G3" s="172"/>
      <c r="H3" s="172"/>
      <c r="I3" s="172"/>
      <c r="J3" s="172"/>
      <c r="K3" s="172"/>
      <c r="L3" s="172"/>
      <c r="M3" s="172"/>
    </row>
    <row r="4" spans="1:23" s="126" customFormat="1" ht="84" customHeight="1" x14ac:dyDescent="0.2">
      <c r="A4" s="331" t="s">
        <v>596</v>
      </c>
      <c r="B4" s="331" t="s">
        <v>384</v>
      </c>
      <c r="C4" s="331" t="s">
        <v>385</v>
      </c>
      <c r="D4" s="331" t="s">
        <v>1159</v>
      </c>
      <c r="E4" s="331" t="s">
        <v>1156</v>
      </c>
      <c r="F4" s="331" t="s">
        <v>1160</v>
      </c>
      <c r="G4" s="331" t="s">
        <v>1161</v>
      </c>
      <c r="H4" s="331" t="s">
        <v>1162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1:23" x14ac:dyDescent="0.2">
      <c r="A5" s="277">
        <v>1</v>
      </c>
      <c r="B5" s="277">
        <v>1111000100</v>
      </c>
      <c r="C5" s="237" t="s">
        <v>3</v>
      </c>
      <c r="D5" s="238">
        <f>179919+1800+600</f>
        <v>182319</v>
      </c>
      <c r="E5" s="238">
        <f>D5*1.0192+2000+2000</f>
        <v>189819.52480000001</v>
      </c>
      <c r="F5" s="238">
        <f>E5/12</f>
        <v>15818.293733333334</v>
      </c>
      <c r="G5" s="238">
        <v>33071</v>
      </c>
      <c r="H5" s="238">
        <f>E5+1000+22</f>
        <v>190841.52480000001</v>
      </c>
    </row>
    <row r="6" spans="1:23" x14ac:dyDescent="0.2">
      <c r="A6" s="397">
        <v>2</v>
      </c>
      <c r="B6" s="398">
        <v>1111000910</v>
      </c>
      <c r="C6" s="237" t="s">
        <v>479</v>
      </c>
      <c r="D6" s="238">
        <v>100</v>
      </c>
      <c r="E6" s="238">
        <v>40</v>
      </c>
      <c r="F6" s="238">
        <f t="shared" ref="F6:F69" si="0">E6/12</f>
        <v>3.3333333333333335</v>
      </c>
      <c r="G6" s="238">
        <v>0</v>
      </c>
      <c r="H6" s="238">
        <f t="shared" ref="H6:H20" si="1">E6</f>
        <v>40</v>
      </c>
    </row>
    <row r="7" spans="1:23" x14ac:dyDescent="0.2">
      <c r="A7" s="277">
        <v>3</v>
      </c>
      <c r="B7" s="277">
        <v>1111200100</v>
      </c>
      <c r="C7" s="239" t="s">
        <v>716</v>
      </c>
      <c r="D7" s="238">
        <v>2</v>
      </c>
      <c r="E7" s="238">
        <v>0</v>
      </c>
      <c r="F7" s="238">
        <f t="shared" si="0"/>
        <v>0</v>
      </c>
      <c r="G7" s="238">
        <v>0</v>
      </c>
      <c r="H7" s="238">
        <f t="shared" si="1"/>
        <v>0</v>
      </c>
    </row>
    <row r="8" spans="1:23" x14ac:dyDescent="0.2">
      <c r="A8" s="397">
        <v>4</v>
      </c>
      <c r="B8" s="277">
        <v>1113000100</v>
      </c>
      <c r="C8" s="237" t="s">
        <v>909</v>
      </c>
      <c r="D8" s="238">
        <f>(20123/23285)*39425-2000</f>
        <v>32071.25939445995</v>
      </c>
      <c r="E8" s="238">
        <v>32000</v>
      </c>
      <c r="F8" s="238">
        <f t="shared" si="0"/>
        <v>2666.6666666666665</v>
      </c>
      <c r="G8" s="238">
        <v>0</v>
      </c>
      <c r="H8" s="238">
        <f t="shared" si="1"/>
        <v>32000</v>
      </c>
    </row>
    <row r="9" spans="1:23" x14ac:dyDescent="0.2">
      <c r="A9" s="277">
        <v>5</v>
      </c>
      <c r="B9" s="277">
        <v>1121000220</v>
      </c>
      <c r="C9" s="237" t="s">
        <v>4</v>
      </c>
      <c r="D9" s="238">
        <v>60</v>
      </c>
      <c r="E9" s="238">
        <v>60</v>
      </c>
      <c r="F9" s="238">
        <f t="shared" si="0"/>
        <v>5</v>
      </c>
      <c r="G9" s="238">
        <v>5</v>
      </c>
      <c r="H9" s="238">
        <f t="shared" si="1"/>
        <v>60</v>
      </c>
    </row>
    <row r="10" spans="1:23" s="146" customFormat="1" ht="15" x14ac:dyDescent="0.2">
      <c r="A10" s="397">
        <v>6</v>
      </c>
      <c r="B10" s="277">
        <v>1121100220</v>
      </c>
      <c r="C10" s="237" t="s">
        <v>5</v>
      </c>
      <c r="D10" s="238">
        <v>300</v>
      </c>
      <c r="E10" s="238">
        <v>300</v>
      </c>
      <c r="F10" s="238">
        <f t="shared" si="0"/>
        <v>25</v>
      </c>
      <c r="G10" s="238">
        <v>13</v>
      </c>
      <c r="H10" s="238">
        <f t="shared" si="1"/>
        <v>300</v>
      </c>
    </row>
    <row r="11" spans="1:23" x14ac:dyDescent="0.2">
      <c r="A11" s="277">
        <v>7</v>
      </c>
      <c r="B11" s="277">
        <v>1122000210</v>
      </c>
      <c r="C11" s="237" t="s">
        <v>6</v>
      </c>
      <c r="D11" s="238">
        <v>1131</v>
      </c>
      <c r="E11" s="238">
        <v>1300</v>
      </c>
      <c r="F11" s="238">
        <f t="shared" si="0"/>
        <v>108.33333333333333</v>
      </c>
      <c r="G11" s="238">
        <v>29</v>
      </c>
      <c r="H11" s="238">
        <f t="shared" si="1"/>
        <v>1300</v>
      </c>
    </row>
    <row r="12" spans="1:23" s="146" customFormat="1" ht="15" x14ac:dyDescent="0.2">
      <c r="A12" s="397">
        <v>8</v>
      </c>
      <c r="B12" s="277">
        <v>1122000211</v>
      </c>
      <c r="C12" s="237" t="s">
        <v>581</v>
      </c>
      <c r="D12" s="238">
        <v>117</v>
      </c>
      <c r="E12" s="238">
        <f>85*1.17</f>
        <v>99.449999999999989</v>
      </c>
      <c r="F12" s="238">
        <f t="shared" si="0"/>
        <v>8.2874999999999996</v>
      </c>
      <c r="G12" s="238">
        <v>0</v>
      </c>
      <c r="H12" s="238">
        <f t="shared" si="1"/>
        <v>99.449999999999989</v>
      </c>
    </row>
    <row r="13" spans="1:23" x14ac:dyDescent="0.2">
      <c r="A13" s="277">
        <v>9</v>
      </c>
      <c r="B13" s="277">
        <v>1129000290</v>
      </c>
      <c r="C13" s="237" t="s">
        <v>7</v>
      </c>
      <c r="D13" s="238">
        <v>40</v>
      </c>
      <c r="E13" s="238">
        <v>40</v>
      </c>
      <c r="F13" s="238">
        <f t="shared" si="0"/>
        <v>3.3333333333333335</v>
      </c>
      <c r="G13" s="238">
        <v>5</v>
      </c>
      <c r="H13" s="238">
        <f t="shared" si="1"/>
        <v>40</v>
      </c>
    </row>
    <row r="14" spans="1:23" x14ac:dyDescent="0.2">
      <c r="A14" s="397">
        <v>10</v>
      </c>
      <c r="B14" s="277">
        <v>1129000291</v>
      </c>
      <c r="C14" s="237" t="s">
        <v>696</v>
      </c>
      <c r="D14" s="238">
        <v>20</v>
      </c>
      <c r="E14" s="238">
        <v>20</v>
      </c>
      <c r="F14" s="238">
        <f t="shared" si="0"/>
        <v>1.6666666666666667</v>
      </c>
      <c r="G14" s="238">
        <v>1</v>
      </c>
      <c r="H14" s="238">
        <f t="shared" si="1"/>
        <v>20</v>
      </c>
    </row>
    <row r="15" spans="1:23" x14ac:dyDescent="0.2">
      <c r="A15" s="277">
        <v>11</v>
      </c>
      <c r="B15" s="277">
        <v>1191000910</v>
      </c>
      <c r="C15" s="237" t="s">
        <v>8</v>
      </c>
      <c r="D15" s="238">
        <v>6400</v>
      </c>
      <c r="E15" s="238">
        <v>7300</v>
      </c>
      <c r="F15" s="238">
        <f t="shared" si="0"/>
        <v>608.33333333333337</v>
      </c>
      <c r="G15" s="238">
        <v>524</v>
      </c>
      <c r="H15" s="238">
        <f t="shared" si="1"/>
        <v>7300</v>
      </c>
    </row>
    <row r="16" spans="1:23" ht="18" customHeight="1" x14ac:dyDescent="0.2">
      <c r="A16" s="397">
        <v>12</v>
      </c>
      <c r="B16" s="277">
        <v>1192000910</v>
      </c>
      <c r="C16" s="237" t="s">
        <v>9</v>
      </c>
      <c r="D16" s="238">
        <v>4307</v>
      </c>
      <c r="E16" s="238">
        <v>4307</v>
      </c>
      <c r="F16" s="238">
        <f t="shared" si="0"/>
        <v>358.91666666666669</v>
      </c>
      <c r="G16" s="238">
        <v>0</v>
      </c>
      <c r="H16" s="238">
        <f t="shared" si="1"/>
        <v>4307</v>
      </c>
    </row>
    <row r="17" spans="1:8" ht="15" customHeight="1" x14ac:dyDescent="0.2">
      <c r="A17" s="277">
        <v>13</v>
      </c>
      <c r="B17" s="277">
        <v>1196000910</v>
      </c>
      <c r="C17" s="237" t="s">
        <v>1144</v>
      </c>
      <c r="D17" s="238"/>
      <c r="E17" s="238">
        <v>200</v>
      </c>
      <c r="F17" s="238">
        <f t="shared" si="0"/>
        <v>16.666666666666668</v>
      </c>
      <c r="G17" s="238">
        <v>0</v>
      </c>
      <c r="H17" s="238">
        <f>143*2.868*2</f>
        <v>820.24799999999993</v>
      </c>
    </row>
    <row r="18" spans="1:8" x14ac:dyDescent="0.2">
      <c r="A18" s="397">
        <v>14</v>
      </c>
      <c r="B18" s="277">
        <v>1212300650</v>
      </c>
      <c r="C18" s="237" t="s">
        <v>10</v>
      </c>
      <c r="D18" s="238">
        <v>480</v>
      </c>
      <c r="E18" s="238">
        <v>500</v>
      </c>
      <c r="F18" s="238">
        <f t="shared" si="0"/>
        <v>41.666666666666664</v>
      </c>
      <c r="G18" s="238">
        <v>0</v>
      </c>
      <c r="H18" s="238">
        <f t="shared" si="1"/>
        <v>500</v>
      </c>
    </row>
    <row r="19" spans="1:8" x14ac:dyDescent="0.2">
      <c r="A19" s="277">
        <v>15</v>
      </c>
      <c r="B19" s="277">
        <v>1212300690</v>
      </c>
      <c r="C19" s="237" t="s">
        <v>11</v>
      </c>
      <c r="D19" s="238">
        <v>15</v>
      </c>
      <c r="E19" s="238">
        <v>15</v>
      </c>
      <c r="F19" s="238">
        <f t="shared" si="0"/>
        <v>1.25</v>
      </c>
      <c r="G19" s="238">
        <v>1</v>
      </c>
      <c r="H19" s="238">
        <f t="shared" si="1"/>
        <v>15</v>
      </c>
    </row>
    <row r="20" spans="1:8" x14ac:dyDescent="0.2">
      <c r="A20" s="397">
        <v>16</v>
      </c>
      <c r="B20" s="277">
        <v>1214200220</v>
      </c>
      <c r="C20" s="237" t="s">
        <v>12</v>
      </c>
      <c r="D20" s="238">
        <v>350</v>
      </c>
      <c r="E20" s="238">
        <v>350</v>
      </c>
      <c r="F20" s="238">
        <f t="shared" si="0"/>
        <v>29.166666666666668</v>
      </c>
      <c r="G20" s="238">
        <v>0</v>
      </c>
      <c r="H20" s="238">
        <f t="shared" si="1"/>
        <v>350</v>
      </c>
    </row>
    <row r="21" spans="1:8" x14ac:dyDescent="0.2">
      <c r="A21" s="277">
        <v>17</v>
      </c>
      <c r="B21" s="277">
        <v>1214210220</v>
      </c>
      <c r="C21" s="237" t="s">
        <v>980</v>
      </c>
      <c r="D21" s="238">
        <v>67</v>
      </c>
      <c r="E21" s="238">
        <v>150</v>
      </c>
      <c r="F21" s="238">
        <f t="shared" si="0"/>
        <v>12.5</v>
      </c>
      <c r="G21" s="238">
        <v>26</v>
      </c>
      <c r="H21" s="238">
        <v>169</v>
      </c>
    </row>
    <row r="22" spans="1:8" x14ac:dyDescent="0.2">
      <c r="A22" s="397">
        <v>18</v>
      </c>
      <c r="B22" s="277">
        <v>1222100910</v>
      </c>
      <c r="C22" s="237" t="s">
        <v>13</v>
      </c>
      <c r="D22" s="238">
        <v>12</v>
      </c>
      <c r="E22" s="238">
        <v>12</v>
      </c>
      <c r="F22" s="238">
        <f t="shared" si="0"/>
        <v>1</v>
      </c>
      <c r="G22" s="238">
        <v>0</v>
      </c>
      <c r="H22" s="238">
        <f>E22</f>
        <v>12</v>
      </c>
    </row>
    <row r="23" spans="1:8" x14ac:dyDescent="0.2">
      <c r="A23" s="277">
        <v>19</v>
      </c>
      <c r="B23" s="277">
        <v>1229000440</v>
      </c>
      <c r="C23" s="237" t="s">
        <v>1054</v>
      </c>
      <c r="D23" s="238">
        <v>50</v>
      </c>
      <c r="E23" s="238">
        <v>50</v>
      </c>
      <c r="F23" s="238">
        <f t="shared" si="0"/>
        <v>4.166666666666667</v>
      </c>
      <c r="G23" s="238">
        <v>0</v>
      </c>
      <c r="H23" s="238">
        <v>44</v>
      </c>
    </row>
    <row r="24" spans="1:8" s="171" customFormat="1" x14ac:dyDescent="0.2">
      <c r="A24" s="397">
        <v>20</v>
      </c>
      <c r="B24" s="277">
        <v>1229999910</v>
      </c>
      <c r="C24" s="237" t="s">
        <v>480</v>
      </c>
      <c r="D24" s="238">
        <v>481</v>
      </c>
      <c r="E24" s="238">
        <v>0</v>
      </c>
      <c r="F24" s="238">
        <f t="shared" si="0"/>
        <v>0</v>
      </c>
      <c r="G24" s="238">
        <v>0</v>
      </c>
      <c r="H24" s="238">
        <f>E24</f>
        <v>0</v>
      </c>
    </row>
    <row r="25" spans="1:8" x14ac:dyDescent="0.2">
      <c r="A25" s="277">
        <v>21</v>
      </c>
      <c r="B25" s="277">
        <v>1230000690</v>
      </c>
      <c r="C25" s="237" t="s">
        <v>14</v>
      </c>
      <c r="D25" s="238">
        <f>5422*1.15+12878-1800-3500-1775+3</f>
        <v>12041.3</v>
      </c>
      <c r="E25" s="238">
        <f>5500*1.15+14732-2000-4000-436+3</f>
        <v>14624</v>
      </c>
      <c r="F25" s="238">
        <f t="shared" si="0"/>
        <v>1218.6666666666667</v>
      </c>
      <c r="G25" s="238">
        <v>0</v>
      </c>
      <c r="H25" s="238">
        <f>E25</f>
        <v>14624</v>
      </c>
    </row>
    <row r="26" spans="1:8" ht="14.25" hidden="1" customHeight="1" x14ac:dyDescent="0.2">
      <c r="A26" s="397">
        <v>22</v>
      </c>
      <c r="B26" s="277">
        <v>1232000690</v>
      </c>
      <c r="C26" s="237" t="s">
        <v>697</v>
      </c>
      <c r="D26" s="238"/>
      <c r="E26" s="238"/>
      <c r="F26" s="238">
        <f t="shared" si="0"/>
        <v>0</v>
      </c>
      <c r="G26" s="238"/>
      <c r="H26" s="238"/>
    </row>
    <row r="27" spans="1:8" x14ac:dyDescent="0.2">
      <c r="A27" s="277">
        <v>22</v>
      </c>
      <c r="B27" s="277">
        <v>1233100290</v>
      </c>
      <c r="C27" s="237" t="s">
        <v>15</v>
      </c>
      <c r="D27" s="238">
        <f>2200+600+793</f>
        <v>3593</v>
      </c>
      <c r="E27" s="238">
        <v>4000</v>
      </c>
      <c r="F27" s="238">
        <f t="shared" si="0"/>
        <v>333.33333333333331</v>
      </c>
      <c r="G27" s="238">
        <v>121</v>
      </c>
      <c r="H27" s="238">
        <f>E27</f>
        <v>4000</v>
      </c>
    </row>
    <row r="28" spans="1:8" x14ac:dyDescent="0.2">
      <c r="A28" s="397">
        <v>23</v>
      </c>
      <c r="B28" s="276">
        <v>1241000690</v>
      </c>
      <c r="C28" s="237" t="s">
        <v>1153</v>
      </c>
      <c r="D28" s="238">
        <v>0</v>
      </c>
      <c r="E28" s="238">
        <v>0</v>
      </c>
      <c r="F28" s="238">
        <f t="shared" si="0"/>
        <v>0</v>
      </c>
      <c r="G28" s="238">
        <v>8</v>
      </c>
      <c r="H28" s="238">
        <v>20</v>
      </c>
    </row>
    <row r="29" spans="1:8" x14ac:dyDescent="0.2">
      <c r="A29" s="397">
        <v>24</v>
      </c>
      <c r="B29" s="276">
        <v>1246000690</v>
      </c>
      <c r="C29" s="237" t="s">
        <v>1190</v>
      </c>
      <c r="D29" s="238"/>
      <c r="E29" s="238"/>
      <c r="F29" s="238"/>
      <c r="G29" s="238"/>
      <c r="H29" s="238">
        <v>90</v>
      </c>
    </row>
    <row r="30" spans="1:8" x14ac:dyDescent="0.2">
      <c r="A30" s="277">
        <v>25</v>
      </c>
      <c r="B30" s="277">
        <v>1269000540</v>
      </c>
      <c r="C30" s="237" t="s">
        <v>16</v>
      </c>
      <c r="D30" s="238">
        <v>250</v>
      </c>
      <c r="E30" s="238">
        <v>300</v>
      </c>
      <c r="F30" s="238">
        <f t="shared" si="0"/>
        <v>25</v>
      </c>
      <c r="G30" s="238">
        <v>14</v>
      </c>
      <c r="H30" s="238">
        <f>E30</f>
        <v>300</v>
      </c>
    </row>
    <row r="31" spans="1:8" x14ac:dyDescent="0.2">
      <c r="A31" s="397">
        <v>26</v>
      </c>
      <c r="B31" s="277">
        <v>1269000620</v>
      </c>
      <c r="C31" s="237" t="s">
        <v>17</v>
      </c>
      <c r="D31" s="238">
        <v>42</v>
      </c>
      <c r="E31" s="238">
        <f>70+20</f>
        <v>90</v>
      </c>
      <c r="F31" s="238">
        <f t="shared" si="0"/>
        <v>7.5</v>
      </c>
      <c r="G31" s="238">
        <v>0</v>
      </c>
      <c r="H31" s="238">
        <f t="shared" ref="H31:H41" si="2">E31</f>
        <v>90</v>
      </c>
    </row>
    <row r="32" spans="1:8" x14ac:dyDescent="0.2">
      <c r="A32" s="277">
        <v>27</v>
      </c>
      <c r="B32" s="277">
        <v>1269000690</v>
      </c>
      <c r="C32" s="237" t="s">
        <v>18</v>
      </c>
      <c r="D32" s="238">
        <f>1000+3049</f>
        <v>4049</v>
      </c>
      <c r="E32" s="238">
        <v>1000</v>
      </c>
      <c r="F32" s="238">
        <f t="shared" si="0"/>
        <v>83.333333333333329</v>
      </c>
      <c r="G32" s="238">
        <v>30</v>
      </c>
      <c r="H32" s="238">
        <f t="shared" si="2"/>
        <v>1000</v>
      </c>
    </row>
    <row r="33" spans="1:8" hidden="1" x14ac:dyDescent="0.2">
      <c r="A33" s="397">
        <v>28</v>
      </c>
      <c r="B33" s="277">
        <v>1269000696</v>
      </c>
      <c r="C33" s="237" t="s">
        <v>470</v>
      </c>
      <c r="D33" s="238"/>
      <c r="E33" s="238"/>
      <c r="F33" s="238">
        <f t="shared" si="0"/>
        <v>0</v>
      </c>
      <c r="G33" s="238"/>
      <c r="H33" s="238">
        <f t="shared" si="2"/>
        <v>0</v>
      </c>
    </row>
    <row r="34" spans="1:8" x14ac:dyDescent="0.2">
      <c r="A34" s="277">
        <v>28</v>
      </c>
      <c r="B34" s="277">
        <v>1269011690</v>
      </c>
      <c r="C34" s="237" t="s">
        <v>19</v>
      </c>
      <c r="D34" s="238">
        <v>20</v>
      </c>
      <c r="E34" s="238">
        <v>20</v>
      </c>
      <c r="F34" s="238">
        <f t="shared" si="0"/>
        <v>1.6666666666666667</v>
      </c>
      <c r="G34" s="238">
        <v>2</v>
      </c>
      <c r="H34" s="238">
        <f t="shared" si="2"/>
        <v>20</v>
      </c>
    </row>
    <row r="35" spans="1:8" x14ac:dyDescent="0.2">
      <c r="A35" s="397">
        <v>29</v>
      </c>
      <c r="B35" s="277">
        <v>1269012690</v>
      </c>
      <c r="C35" s="237" t="s">
        <v>20</v>
      </c>
      <c r="D35" s="238">
        <v>40</v>
      </c>
      <c r="E35" s="238">
        <v>40</v>
      </c>
      <c r="F35" s="238">
        <f t="shared" si="0"/>
        <v>3.3333333333333335</v>
      </c>
      <c r="G35" s="238">
        <v>4</v>
      </c>
      <c r="H35" s="238">
        <f t="shared" si="2"/>
        <v>40</v>
      </c>
    </row>
    <row r="36" spans="1:8" ht="14.25" hidden="1" customHeight="1" x14ac:dyDescent="0.2">
      <c r="A36" s="277">
        <v>31</v>
      </c>
      <c r="B36" s="277">
        <v>1269022690</v>
      </c>
      <c r="C36" s="237" t="s">
        <v>21</v>
      </c>
      <c r="D36" s="238"/>
      <c r="E36" s="238"/>
      <c r="F36" s="238">
        <f t="shared" si="0"/>
        <v>0</v>
      </c>
      <c r="G36" s="238"/>
      <c r="H36" s="238">
        <f t="shared" si="2"/>
        <v>0</v>
      </c>
    </row>
    <row r="37" spans="1:8" hidden="1" x14ac:dyDescent="0.2">
      <c r="A37" s="397">
        <v>32</v>
      </c>
      <c r="B37" s="277">
        <v>1269034690</v>
      </c>
      <c r="C37" s="237" t="s">
        <v>22</v>
      </c>
      <c r="D37" s="238"/>
      <c r="E37" s="238"/>
      <c r="F37" s="238">
        <f t="shared" si="0"/>
        <v>0</v>
      </c>
      <c r="G37" s="238"/>
      <c r="H37" s="238">
        <f t="shared" si="2"/>
        <v>0</v>
      </c>
    </row>
    <row r="38" spans="1:8" hidden="1" x14ac:dyDescent="0.2">
      <c r="A38" s="277">
        <v>33</v>
      </c>
      <c r="B38" s="277">
        <v>1269042690</v>
      </c>
      <c r="C38" s="237" t="s">
        <v>23</v>
      </c>
      <c r="D38" s="238"/>
      <c r="E38" s="238"/>
      <c r="F38" s="238">
        <f t="shared" si="0"/>
        <v>0</v>
      </c>
      <c r="G38" s="238"/>
      <c r="H38" s="238">
        <f t="shared" si="2"/>
        <v>0</v>
      </c>
    </row>
    <row r="39" spans="1:8" x14ac:dyDescent="0.2">
      <c r="A39" s="397">
        <v>30</v>
      </c>
      <c r="B39" s="277">
        <v>1269050690</v>
      </c>
      <c r="C39" s="237" t="s">
        <v>575</v>
      </c>
      <c r="D39" s="238">
        <v>12</v>
      </c>
      <c r="E39" s="238">
        <v>12</v>
      </c>
      <c r="F39" s="238">
        <f t="shared" si="0"/>
        <v>1</v>
      </c>
      <c r="G39" s="238">
        <v>9</v>
      </c>
      <c r="H39" s="238">
        <f t="shared" si="2"/>
        <v>12</v>
      </c>
    </row>
    <row r="40" spans="1:8" s="171" customFormat="1" x14ac:dyDescent="0.2">
      <c r="A40" s="277">
        <v>31</v>
      </c>
      <c r="B40" s="277">
        <v>1269053690</v>
      </c>
      <c r="C40" s="237" t="s">
        <v>517</v>
      </c>
      <c r="D40" s="238">
        <f>(500+330+20*4)*350*1.17/1000</f>
        <v>372.64499999999998</v>
      </c>
      <c r="E40" s="238">
        <f>580*350*1.17/1000</f>
        <v>237.51</v>
      </c>
      <c r="F40" s="238">
        <f t="shared" si="0"/>
        <v>19.7925</v>
      </c>
      <c r="G40" s="238">
        <v>8</v>
      </c>
      <c r="H40" s="238">
        <f t="shared" si="2"/>
        <v>237.51</v>
      </c>
    </row>
    <row r="41" spans="1:8" x14ac:dyDescent="0.2">
      <c r="A41" s="397">
        <v>32</v>
      </c>
      <c r="B41" s="277">
        <v>1269056690</v>
      </c>
      <c r="C41" s="237" t="s">
        <v>24</v>
      </c>
      <c r="D41" s="238">
        <v>300</v>
      </c>
      <c r="E41" s="238">
        <v>300</v>
      </c>
      <c r="F41" s="238">
        <f t="shared" si="0"/>
        <v>25</v>
      </c>
      <c r="G41" s="238">
        <v>35</v>
      </c>
      <c r="H41" s="238">
        <f t="shared" si="2"/>
        <v>300</v>
      </c>
    </row>
    <row r="42" spans="1:8" x14ac:dyDescent="0.2">
      <c r="A42" s="277">
        <v>33</v>
      </c>
      <c r="B42" s="277">
        <v>1269063420</v>
      </c>
      <c r="C42" s="237" t="s">
        <v>1154</v>
      </c>
      <c r="D42" s="238"/>
      <c r="E42" s="238"/>
      <c r="F42" s="238">
        <f t="shared" si="0"/>
        <v>0</v>
      </c>
      <c r="G42" s="238">
        <v>0</v>
      </c>
      <c r="H42" s="238">
        <v>5</v>
      </c>
    </row>
    <row r="43" spans="1:8" x14ac:dyDescent="0.2">
      <c r="A43" s="397">
        <v>34</v>
      </c>
      <c r="B43" s="277">
        <v>1269063690</v>
      </c>
      <c r="C43" s="237" t="s">
        <v>25</v>
      </c>
      <c r="D43" s="238">
        <f>95+72</f>
        <v>167</v>
      </c>
      <c r="E43" s="238">
        <v>30</v>
      </c>
      <c r="F43" s="238">
        <f t="shared" si="0"/>
        <v>2.5</v>
      </c>
      <c r="G43" s="238">
        <v>0</v>
      </c>
      <c r="H43" s="238">
        <f>E43</f>
        <v>30</v>
      </c>
    </row>
    <row r="44" spans="1:8" x14ac:dyDescent="0.2">
      <c r="A44" s="277">
        <v>35</v>
      </c>
      <c r="B44" s="277">
        <v>1269069690</v>
      </c>
      <c r="C44" s="237" t="s">
        <v>26</v>
      </c>
      <c r="D44" s="238">
        <v>544</v>
      </c>
      <c r="E44" s="238">
        <v>550</v>
      </c>
      <c r="F44" s="238">
        <f t="shared" si="0"/>
        <v>45.833333333333336</v>
      </c>
      <c r="G44" s="238">
        <v>0</v>
      </c>
      <c r="H44" s="238">
        <f t="shared" ref="H44:H48" si="3">E44</f>
        <v>550</v>
      </c>
    </row>
    <row r="45" spans="1:8" x14ac:dyDescent="0.2">
      <c r="A45" s="397">
        <v>36</v>
      </c>
      <c r="B45" s="277">
        <v>1269099690</v>
      </c>
      <c r="C45" s="240" t="s">
        <v>1024</v>
      </c>
      <c r="D45" s="238">
        <f>8*4</f>
        <v>32</v>
      </c>
      <c r="E45" s="238">
        <v>32</v>
      </c>
      <c r="F45" s="238">
        <f t="shared" si="0"/>
        <v>2.6666666666666665</v>
      </c>
      <c r="G45" s="238">
        <v>0</v>
      </c>
      <c r="H45" s="238">
        <f t="shared" si="3"/>
        <v>32</v>
      </c>
    </row>
    <row r="46" spans="1:8" x14ac:dyDescent="0.2">
      <c r="A46" s="277">
        <v>37</v>
      </c>
      <c r="B46" s="277">
        <v>1269074690</v>
      </c>
      <c r="C46" s="237" t="s">
        <v>27</v>
      </c>
      <c r="D46" s="238">
        <v>5</v>
      </c>
      <c r="E46" s="238">
        <v>0</v>
      </c>
      <c r="F46" s="238">
        <f t="shared" si="0"/>
        <v>0</v>
      </c>
      <c r="G46" s="238"/>
      <c r="H46" s="238">
        <f t="shared" si="3"/>
        <v>0</v>
      </c>
    </row>
    <row r="47" spans="1:8" ht="14.25" customHeight="1" x14ac:dyDescent="0.2">
      <c r="A47" s="397">
        <v>38</v>
      </c>
      <c r="B47" s="277">
        <v>1269023690</v>
      </c>
      <c r="C47" s="237" t="s">
        <v>1070</v>
      </c>
      <c r="D47" s="238">
        <v>81</v>
      </c>
      <c r="E47" s="238">
        <v>40</v>
      </c>
      <c r="F47" s="238">
        <f t="shared" si="0"/>
        <v>3.3333333333333335</v>
      </c>
      <c r="G47" s="238">
        <v>0</v>
      </c>
      <c r="H47" s="238">
        <f t="shared" si="3"/>
        <v>40</v>
      </c>
    </row>
    <row r="48" spans="1:8" x14ac:dyDescent="0.2">
      <c r="A48" s="277">
        <v>39</v>
      </c>
      <c r="B48" s="277">
        <v>1269100990</v>
      </c>
      <c r="C48" s="237" t="s">
        <v>700</v>
      </c>
      <c r="D48" s="238">
        <v>200</v>
      </c>
      <c r="E48" s="238">
        <v>200</v>
      </c>
      <c r="F48" s="238">
        <f t="shared" si="0"/>
        <v>16.666666666666668</v>
      </c>
      <c r="G48" s="238">
        <v>0</v>
      </c>
      <c r="H48" s="238">
        <f t="shared" si="3"/>
        <v>200</v>
      </c>
    </row>
    <row r="49" spans="1:8" ht="27" customHeight="1" x14ac:dyDescent="0.2">
      <c r="A49" s="397">
        <v>40</v>
      </c>
      <c r="B49" s="277">
        <v>1269200690</v>
      </c>
      <c r="C49" s="237" t="s">
        <v>1151</v>
      </c>
      <c r="D49" s="238">
        <v>13</v>
      </c>
      <c r="E49" s="238">
        <v>13</v>
      </c>
      <c r="F49" s="238">
        <f t="shared" si="0"/>
        <v>1.0833333333333333</v>
      </c>
      <c r="G49" s="238">
        <v>1</v>
      </c>
      <c r="H49" s="238">
        <v>100</v>
      </c>
    </row>
    <row r="50" spans="1:8" x14ac:dyDescent="0.2">
      <c r="A50" s="277">
        <v>41</v>
      </c>
      <c r="B50" s="277">
        <v>1272000640</v>
      </c>
      <c r="C50" s="237" t="s">
        <v>907</v>
      </c>
      <c r="D50" s="238">
        <v>440</v>
      </c>
      <c r="E50" s="238">
        <v>450</v>
      </c>
      <c r="F50" s="238">
        <f t="shared" si="0"/>
        <v>37.5</v>
      </c>
      <c r="G50" s="238">
        <v>3</v>
      </c>
      <c r="H50" s="238">
        <f>E50</f>
        <v>450</v>
      </c>
    </row>
    <row r="51" spans="1:8" x14ac:dyDescent="0.2">
      <c r="A51" s="277">
        <v>42</v>
      </c>
      <c r="B51" s="277">
        <v>1273200690</v>
      </c>
      <c r="C51" s="237" t="s">
        <v>28</v>
      </c>
      <c r="D51" s="238">
        <v>1060</v>
      </c>
      <c r="E51" s="238">
        <v>0</v>
      </c>
      <c r="F51" s="238">
        <f t="shared" si="0"/>
        <v>0</v>
      </c>
      <c r="G51" s="238">
        <v>0</v>
      </c>
      <c r="H51" s="238">
        <f>E51</f>
        <v>0</v>
      </c>
    </row>
    <row r="52" spans="1:8" x14ac:dyDescent="0.2">
      <c r="A52" s="277">
        <v>43</v>
      </c>
      <c r="B52" s="277">
        <v>1281200690</v>
      </c>
      <c r="C52" s="237" t="s">
        <v>29</v>
      </c>
      <c r="D52" s="238">
        <v>200</v>
      </c>
      <c r="E52" s="238">
        <v>200</v>
      </c>
      <c r="F52" s="238">
        <f t="shared" si="0"/>
        <v>16.666666666666668</v>
      </c>
      <c r="G52" s="238">
        <v>31</v>
      </c>
      <c r="H52" s="238">
        <f>E52</f>
        <v>200</v>
      </c>
    </row>
    <row r="53" spans="1:8" x14ac:dyDescent="0.2">
      <c r="A53" s="277">
        <v>44</v>
      </c>
      <c r="B53" s="277">
        <v>1282000690</v>
      </c>
      <c r="C53" s="237" t="s">
        <v>30</v>
      </c>
      <c r="D53" s="409">
        <v>250</v>
      </c>
      <c r="E53" s="409">
        <v>250</v>
      </c>
      <c r="F53" s="409">
        <f t="shared" si="0"/>
        <v>20.833333333333332</v>
      </c>
      <c r="G53" s="409">
        <v>1</v>
      </c>
      <c r="H53" s="409">
        <f t="shared" ref="H53" si="4">E53</f>
        <v>250</v>
      </c>
    </row>
    <row r="54" spans="1:8" x14ac:dyDescent="0.2">
      <c r="A54" s="277">
        <v>45</v>
      </c>
      <c r="B54" s="277">
        <v>1282100690</v>
      </c>
      <c r="C54" s="237" t="s">
        <v>31</v>
      </c>
      <c r="D54" s="410"/>
      <c r="E54" s="410"/>
      <c r="F54" s="410"/>
      <c r="G54" s="410"/>
      <c r="H54" s="410"/>
    </row>
    <row r="55" spans="1:8" s="146" customFormat="1" ht="15.75" x14ac:dyDescent="0.2">
      <c r="A55" s="412">
        <v>46</v>
      </c>
      <c r="B55" s="399">
        <v>31</v>
      </c>
      <c r="C55" s="270" t="s">
        <v>375</v>
      </c>
      <c r="D55" s="238">
        <f>'הכנסות חינוך 3'!D50</f>
        <v>48151</v>
      </c>
      <c r="E55" s="238">
        <f>'הכנסות חינוך 3'!E50</f>
        <v>45621</v>
      </c>
      <c r="F55" s="238">
        <f t="shared" si="0"/>
        <v>3801.75</v>
      </c>
      <c r="G55" s="238">
        <f>'הכנסות חינוך 3'!G50</f>
        <v>4510</v>
      </c>
      <c r="H55" s="238">
        <f>'הכנסות חינוך 3'!H50</f>
        <v>47681</v>
      </c>
    </row>
    <row r="56" spans="1:8" ht="15.75" x14ac:dyDescent="0.2">
      <c r="A56" s="413"/>
      <c r="B56" s="399">
        <v>31</v>
      </c>
      <c r="C56" s="270" t="s">
        <v>376</v>
      </c>
      <c r="D56" s="238">
        <f>'הכנסות חינוך 3'!D67</f>
        <v>2145.4169999999999</v>
      </c>
      <c r="E56" s="238">
        <f>'הכנסות חינוך 3'!E67</f>
        <v>2127</v>
      </c>
      <c r="F56" s="238">
        <f t="shared" si="0"/>
        <v>177.25</v>
      </c>
      <c r="G56" s="238">
        <f>'הכנסות חינוך 3'!G67</f>
        <v>70</v>
      </c>
      <c r="H56" s="238">
        <f>'הכנסות חינוך 3'!H67</f>
        <v>2477</v>
      </c>
    </row>
    <row r="57" spans="1:8" ht="15.75" x14ac:dyDescent="0.2">
      <c r="A57" s="277">
        <v>47</v>
      </c>
      <c r="B57" s="399">
        <v>31</v>
      </c>
      <c r="C57" s="270" t="s">
        <v>377</v>
      </c>
      <c r="D57" s="238">
        <f>'הכנסות חינוך 3'!D53</f>
        <v>7400</v>
      </c>
      <c r="E57" s="238">
        <f>'הכנסות חינוך 3'!E53</f>
        <v>7400</v>
      </c>
      <c r="F57" s="238">
        <f t="shared" si="0"/>
        <v>616.66666666666663</v>
      </c>
      <c r="G57" s="238">
        <f>'הכנסות חינוך 3'!G54</f>
        <v>0</v>
      </c>
      <c r="H57" s="238">
        <f>'הכנסות חינוך 3'!H54</f>
        <v>7400</v>
      </c>
    </row>
    <row r="58" spans="1:8" ht="15.75" x14ac:dyDescent="0.2">
      <c r="A58" s="412">
        <v>48</v>
      </c>
      <c r="B58" s="399">
        <v>32</v>
      </c>
      <c r="C58" s="270" t="s">
        <v>378</v>
      </c>
      <c r="D58" s="238">
        <f>'הכנסות תרבות 4'!D9</f>
        <v>1510</v>
      </c>
      <c r="E58" s="238">
        <f>'הכנסות תרבות 4'!E9</f>
        <v>1650</v>
      </c>
      <c r="F58" s="238">
        <f t="shared" si="0"/>
        <v>137.5</v>
      </c>
      <c r="G58" s="238">
        <f>'הכנסות תרבות 4'!G9</f>
        <v>104</v>
      </c>
      <c r="H58" s="238">
        <f>'הכנסות תרבות 4'!H9</f>
        <v>1584</v>
      </c>
    </row>
    <row r="59" spans="1:8" ht="15.75" x14ac:dyDescent="0.2">
      <c r="A59" s="413"/>
      <c r="B59" s="399">
        <v>32</v>
      </c>
      <c r="C59" s="270" t="s">
        <v>379</v>
      </c>
      <c r="D59" s="238">
        <f>'הכנסות תרבות 4'!D21</f>
        <v>2930</v>
      </c>
      <c r="E59" s="238">
        <f>'הכנסות תרבות 4'!E21</f>
        <v>2430</v>
      </c>
      <c r="F59" s="238">
        <f t="shared" si="0"/>
        <v>202.5</v>
      </c>
      <c r="G59" s="238">
        <f>'הכנסות תרבות 4'!G21</f>
        <v>88</v>
      </c>
      <c r="H59" s="238">
        <f>'הכנסות תרבות 4'!H21</f>
        <v>2830</v>
      </c>
    </row>
    <row r="60" spans="1:8" ht="15.75" x14ac:dyDescent="0.2">
      <c r="A60" s="412">
        <v>49</v>
      </c>
      <c r="B60" s="399">
        <v>32</v>
      </c>
      <c r="C60" s="270" t="s">
        <v>380</v>
      </c>
      <c r="D60" s="238"/>
      <c r="E60" s="238">
        <f>D60</f>
        <v>0</v>
      </c>
      <c r="F60" s="238">
        <f t="shared" si="0"/>
        <v>0</v>
      </c>
      <c r="G60" s="238">
        <f>'הכנסות תרבות 4'!G27</f>
        <v>0</v>
      </c>
      <c r="H60" s="238">
        <v>0</v>
      </c>
    </row>
    <row r="61" spans="1:8" ht="15.75" x14ac:dyDescent="0.2">
      <c r="A61" s="414"/>
      <c r="B61" s="399">
        <v>32</v>
      </c>
      <c r="C61" s="270" t="s">
        <v>381</v>
      </c>
      <c r="D61" s="238">
        <f>'הכנסות תרבות 4'!D26</f>
        <v>220</v>
      </c>
      <c r="E61" s="238">
        <f>'הכנסות תרבות 4'!E26</f>
        <v>220</v>
      </c>
      <c r="F61" s="238">
        <f t="shared" si="0"/>
        <v>18.333333333333332</v>
      </c>
      <c r="G61" s="238">
        <f>'הכנסות תרבות 4'!G27</f>
        <v>0</v>
      </c>
      <c r="H61" s="238">
        <f>'הכנסות תרבות 4'!H27</f>
        <v>220</v>
      </c>
    </row>
    <row r="62" spans="1:8" s="171" customFormat="1" ht="15.75" x14ac:dyDescent="0.2">
      <c r="A62" s="411">
        <v>50</v>
      </c>
      <c r="B62" s="399">
        <v>34</v>
      </c>
      <c r="C62" s="271" t="s">
        <v>382</v>
      </c>
      <c r="D62" s="238">
        <f>'הכנסות רווחה 5'!D117</f>
        <v>49368</v>
      </c>
      <c r="E62" s="238">
        <f>'הכנסות רווחה 5'!E117</f>
        <v>49289</v>
      </c>
      <c r="F62" s="238">
        <f t="shared" si="0"/>
        <v>4107.416666666667</v>
      </c>
      <c r="G62" s="238">
        <f>'הכנסות רווחה 5'!G117</f>
        <v>3905</v>
      </c>
      <c r="H62" s="238">
        <f>'הכנסות רווחה 5'!H117</f>
        <v>49362</v>
      </c>
    </row>
    <row r="63" spans="1:8" ht="15.75" x14ac:dyDescent="0.2">
      <c r="A63" s="411"/>
      <c r="B63" s="399">
        <v>34</v>
      </c>
      <c r="C63" s="270" t="s">
        <v>383</v>
      </c>
      <c r="D63" s="238">
        <f>'הכנסות רווחה 5'!D130</f>
        <v>1220</v>
      </c>
      <c r="E63" s="238">
        <f>'הכנסות רווחה 5'!E130</f>
        <v>1222</v>
      </c>
      <c r="F63" s="238">
        <f t="shared" si="0"/>
        <v>101.83333333333333</v>
      </c>
      <c r="G63" s="238">
        <f>'הכנסות רווחה 5'!G130</f>
        <v>102</v>
      </c>
      <c r="H63" s="238">
        <f>'הכנסות רווחה 5'!H130</f>
        <v>1222</v>
      </c>
    </row>
    <row r="64" spans="1:8" x14ac:dyDescent="0.2">
      <c r="A64" s="397">
        <v>51</v>
      </c>
      <c r="B64" s="277">
        <v>1413000690</v>
      </c>
      <c r="C64" s="240" t="s">
        <v>1032</v>
      </c>
      <c r="D64" s="238">
        <v>220</v>
      </c>
      <c r="E64" s="238">
        <v>220</v>
      </c>
      <c r="F64" s="238">
        <f t="shared" si="0"/>
        <v>18.333333333333332</v>
      </c>
      <c r="G64" s="238">
        <v>0</v>
      </c>
      <c r="H64" s="238">
        <f>E64</f>
        <v>220</v>
      </c>
    </row>
    <row r="65" spans="1:9" x14ac:dyDescent="0.2">
      <c r="A65" s="397">
        <v>52</v>
      </c>
      <c r="B65" s="277">
        <v>1413100210</v>
      </c>
      <c r="C65" s="237" t="s">
        <v>144</v>
      </c>
      <c r="D65" s="238">
        <v>-10</v>
      </c>
      <c r="E65" s="238">
        <v>-10</v>
      </c>
      <c r="F65" s="238">
        <f t="shared" si="0"/>
        <v>-0.83333333333333337</v>
      </c>
      <c r="G65" s="238">
        <v>0</v>
      </c>
      <c r="H65" s="238">
        <f t="shared" ref="H65:H83" si="5">E65</f>
        <v>-10</v>
      </c>
    </row>
    <row r="66" spans="1:9" x14ac:dyDescent="0.2">
      <c r="A66" s="397">
        <v>53</v>
      </c>
      <c r="B66" s="277">
        <v>1433000640</v>
      </c>
      <c r="C66" s="237" t="s">
        <v>145</v>
      </c>
      <c r="D66" s="238">
        <v>1723</v>
      </c>
      <c r="E66" s="238">
        <v>1723</v>
      </c>
      <c r="F66" s="238">
        <f t="shared" si="0"/>
        <v>143.58333333333334</v>
      </c>
      <c r="G66" s="238">
        <v>192</v>
      </c>
      <c r="H66" s="238">
        <f t="shared" si="5"/>
        <v>1723</v>
      </c>
    </row>
    <row r="67" spans="1:9" x14ac:dyDescent="0.2">
      <c r="A67" s="397">
        <v>54</v>
      </c>
      <c r="B67" s="277">
        <v>1433100640</v>
      </c>
      <c r="C67" s="237" t="s">
        <v>146</v>
      </c>
      <c r="D67" s="238">
        <v>6</v>
      </c>
      <c r="E67" s="238">
        <v>10</v>
      </c>
      <c r="F67" s="238">
        <f t="shared" si="0"/>
        <v>0.83333333333333337</v>
      </c>
      <c r="G67" s="238">
        <v>0</v>
      </c>
      <c r="H67" s="238">
        <f t="shared" si="5"/>
        <v>10</v>
      </c>
    </row>
    <row r="68" spans="1:9" x14ac:dyDescent="0.2">
      <c r="A68" s="397">
        <v>55</v>
      </c>
      <c r="B68" s="277">
        <v>1433200640</v>
      </c>
      <c r="C68" s="237" t="s">
        <v>1078</v>
      </c>
      <c r="D68" s="238">
        <v>55</v>
      </c>
      <c r="E68" s="238">
        <v>80</v>
      </c>
      <c r="F68" s="238">
        <f t="shared" si="0"/>
        <v>6.666666666666667</v>
      </c>
      <c r="G68" s="238">
        <v>4</v>
      </c>
      <c r="H68" s="238">
        <f t="shared" si="5"/>
        <v>80</v>
      </c>
    </row>
    <row r="69" spans="1:9" ht="14.25" hidden="1" customHeight="1" x14ac:dyDescent="0.2">
      <c r="A69" s="397">
        <v>53</v>
      </c>
      <c r="B69" s="277">
        <v>1433300640</v>
      </c>
      <c r="C69" s="237" t="s">
        <v>722</v>
      </c>
      <c r="D69" s="238"/>
      <c r="E69" s="238"/>
      <c r="F69" s="238">
        <f t="shared" si="0"/>
        <v>0</v>
      </c>
      <c r="G69" s="238"/>
      <c r="H69" s="238">
        <f t="shared" si="5"/>
        <v>0</v>
      </c>
    </row>
    <row r="70" spans="1:9" ht="14.25" customHeight="1" x14ac:dyDescent="0.2">
      <c r="A70" s="397">
        <v>56</v>
      </c>
      <c r="B70" s="277">
        <v>1438000690</v>
      </c>
      <c r="C70" s="237" t="s">
        <v>968</v>
      </c>
      <c r="D70" s="238">
        <v>250</v>
      </c>
      <c r="E70" s="238">
        <v>250</v>
      </c>
      <c r="F70" s="238">
        <f t="shared" ref="F70:F83" si="6">E70/12</f>
        <v>20.833333333333332</v>
      </c>
      <c r="G70" s="238">
        <v>0</v>
      </c>
      <c r="H70" s="238">
        <f t="shared" si="5"/>
        <v>250</v>
      </c>
    </row>
    <row r="71" spans="1:9" x14ac:dyDescent="0.2">
      <c r="A71" s="397">
        <v>57</v>
      </c>
      <c r="B71" s="277">
        <v>1439000640</v>
      </c>
      <c r="C71" s="237" t="s">
        <v>1087</v>
      </c>
      <c r="D71" s="238">
        <f>161+166+165+165</f>
        <v>657</v>
      </c>
      <c r="E71" s="238">
        <v>657</v>
      </c>
      <c r="F71" s="238">
        <f t="shared" si="6"/>
        <v>54.75</v>
      </c>
      <c r="G71" s="238">
        <v>145</v>
      </c>
      <c r="H71" s="238">
        <f t="shared" si="5"/>
        <v>657</v>
      </c>
    </row>
    <row r="72" spans="1:9" x14ac:dyDescent="0.2">
      <c r="A72" s="397">
        <v>58</v>
      </c>
      <c r="B72" s="277">
        <v>1439100640</v>
      </c>
      <c r="C72" s="239" t="s">
        <v>1089</v>
      </c>
      <c r="D72" s="238">
        <v>250</v>
      </c>
      <c r="E72" s="238">
        <v>660</v>
      </c>
      <c r="F72" s="238">
        <f t="shared" si="6"/>
        <v>55</v>
      </c>
      <c r="G72" s="238">
        <v>3</v>
      </c>
      <c r="H72" s="238">
        <f t="shared" si="5"/>
        <v>660</v>
      </c>
    </row>
    <row r="73" spans="1:9" x14ac:dyDescent="0.2">
      <c r="A73" s="397">
        <v>59</v>
      </c>
      <c r="B73" s="277">
        <v>1443000220</v>
      </c>
      <c r="C73" s="239" t="s">
        <v>147</v>
      </c>
      <c r="D73" s="238">
        <v>3000</v>
      </c>
      <c r="E73" s="238">
        <v>3400</v>
      </c>
      <c r="F73" s="238">
        <f t="shared" si="6"/>
        <v>283.33333333333331</v>
      </c>
      <c r="G73" s="238">
        <v>123</v>
      </c>
      <c r="H73" s="238">
        <f t="shared" si="5"/>
        <v>3400</v>
      </c>
    </row>
    <row r="74" spans="1:9" ht="14.25" hidden="1" customHeight="1" x14ac:dyDescent="0.2">
      <c r="A74" s="397">
        <v>58</v>
      </c>
      <c r="B74" s="277">
        <v>1443000221</v>
      </c>
      <c r="C74" s="239" t="s">
        <v>831</v>
      </c>
      <c r="D74" s="238"/>
      <c r="E74" s="238"/>
      <c r="F74" s="238">
        <f t="shared" si="6"/>
        <v>0</v>
      </c>
      <c r="G74" s="238"/>
      <c r="H74" s="238">
        <f t="shared" si="5"/>
        <v>0</v>
      </c>
    </row>
    <row r="75" spans="1:9" ht="15" hidden="1" customHeight="1" x14ac:dyDescent="0.2">
      <c r="A75" s="397">
        <v>59</v>
      </c>
      <c r="B75" s="277">
        <v>1443100220</v>
      </c>
      <c r="C75" s="239" t="s">
        <v>832</v>
      </c>
      <c r="D75" s="238"/>
      <c r="E75" s="238"/>
      <c r="F75" s="238">
        <f t="shared" si="6"/>
        <v>0</v>
      </c>
      <c r="G75" s="238"/>
      <c r="H75" s="238">
        <f t="shared" si="5"/>
        <v>0</v>
      </c>
    </row>
    <row r="76" spans="1:9" ht="13.9" hidden="1" customHeight="1" x14ac:dyDescent="0.2">
      <c r="A76" s="397">
        <v>60</v>
      </c>
      <c r="B76" s="277">
        <v>1472000210</v>
      </c>
      <c r="C76" s="239" t="s">
        <v>148</v>
      </c>
      <c r="D76" s="238"/>
      <c r="E76" s="238"/>
      <c r="F76" s="238">
        <f t="shared" si="6"/>
        <v>0</v>
      </c>
      <c r="G76" s="238"/>
      <c r="H76" s="238">
        <f t="shared" si="5"/>
        <v>0</v>
      </c>
    </row>
    <row r="77" spans="1:9" ht="13.9" hidden="1" customHeight="1" x14ac:dyDescent="0.2">
      <c r="A77" s="397">
        <v>61</v>
      </c>
      <c r="B77" s="277">
        <v>1472000800</v>
      </c>
      <c r="C77" s="239" t="s">
        <v>149</v>
      </c>
      <c r="D77" s="238"/>
      <c r="E77" s="238"/>
      <c r="F77" s="238">
        <f t="shared" si="6"/>
        <v>0</v>
      </c>
      <c r="G77" s="238"/>
      <c r="H77" s="238">
        <f t="shared" si="5"/>
        <v>0</v>
      </c>
    </row>
    <row r="78" spans="1:9" x14ac:dyDescent="0.2">
      <c r="A78" s="397">
        <v>60</v>
      </c>
      <c r="B78" s="277">
        <v>1472000210</v>
      </c>
      <c r="C78" s="237" t="s">
        <v>148</v>
      </c>
      <c r="D78" s="238">
        <v>0</v>
      </c>
      <c r="E78" s="238">
        <v>0</v>
      </c>
      <c r="F78" s="238">
        <f t="shared" si="6"/>
        <v>0</v>
      </c>
      <c r="G78" s="238">
        <v>0</v>
      </c>
      <c r="H78" s="238">
        <f t="shared" si="5"/>
        <v>0</v>
      </c>
    </row>
    <row r="79" spans="1:9" x14ac:dyDescent="0.2">
      <c r="A79" s="397">
        <v>61</v>
      </c>
      <c r="B79" s="277">
        <v>1511000660</v>
      </c>
      <c r="C79" s="237" t="s">
        <v>150</v>
      </c>
      <c r="D79" s="238">
        <v>0</v>
      </c>
      <c r="E79" s="238">
        <v>1200</v>
      </c>
      <c r="F79" s="238">
        <f t="shared" si="6"/>
        <v>100</v>
      </c>
      <c r="G79" s="238">
        <v>90</v>
      </c>
      <c r="H79" s="238">
        <f>E79</f>
        <v>1200</v>
      </c>
      <c r="I79" s="117" t="s">
        <v>1220</v>
      </c>
    </row>
    <row r="80" spans="1:9" x14ac:dyDescent="0.2">
      <c r="A80" s="397">
        <v>62</v>
      </c>
      <c r="B80" s="277">
        <v>1591900590</v>
      </c>
      <c r="C80" s="237" t="s">
        <v>151</v>
      </c>
      <c r="D80" s="238">
        <v>0</v>
      </c>
      <c r="E80" s="238">
        <v>0</v>
      </c>
      <c r="F80" s="238">
        <f t="shared" si="6"/>
        <v>0</v>
      </c>
      <c r="G80" s="238">
        <v>0</v>
      </c>
      <c r="H80" s="238">
        <f t="shared" si="5"/>
        <v>0</v>
      </c>
    </row>
    <row r="81" spans="1:13" x14ac:dyDescent="0.2">
      <c r="A81" s="397">
        <v>63</v>
      </c>
      <c r="B81" s="277">
        <v>1594100690</v>
      </c>
      <c r="C81" s="237" t="s">
        <v>152</v>
      </c>
      <c r="D81" s="238">
        <v>200</v>
      </c>
      <c r="E81" s="238">
        <v>300</v>
      </c>
      <c r="F81" s="238">
        <f t="shared" si="6"/>
        <v>25</v>
      </c>
      <c r="G81" s="238">
        <v>0</v>
      </c>
      <c r="H81" s="238">
        <f t="shared" si="5"/>
        <v>300</v>
      </c>
    </row>
    <row r="82" spans="1:13" s="146" customFormat="1" ht="15" x14ac:dyDescent="0.2">
      <c r="A82" s="397">
        <v>64</v>
      </c>
      <c r="B82" s="277">
        <v>1599200691</v>
      </c>
      <c r="C82" s="237" t="s">
        <v>153</v>
      </c>
      <c r="D82" s="238">
        <v>100</v>
      </c>
      <c r="E82" s="238">
        <v>200</v>
      </c>
      <c r="F82" s="238">
        <f t="shared" si="6"/>
        <v>16.666666666666668</v>
      </c>
      <c r="G82" s="238">
        <v>0</v>
      </c>
      <c r="H82" s="238">
        <f t="shared" si="5"/>
        <v>200</v>
      </c>
    </row>
    <row r="83" spans="1:13" x14ac:dyDescent="0.2">
      <c r="A83" s="397">
        <v>65</v>
      </c>
      <c r="B83" s="277">
        <v>1599000780</v>
      </c>
      <c r="C83" s="237" t="s">
        <v>577</v>
      </c>
      <c r="D83" s="238">
        <v>0</v>
      </c>
      <c r="E83" s="238">
        <v>0</v>
      </c>
      <c r="F83" s="238">
        <f t="shared" si="6"/>
        <v>0</v>
      </c>
      <c r="G83" s="238"/>
      <c r="H83" s="238">
        <f t="shared" si="5"/>
        <v>0</v>
      </c>
    </row>
    <row r="84" spans="1:13" ht="15" x14ac:dyDescent="0.2">
      <c r="A84" s="400"/>
      <c r="B84" s="176" t="s">
        <v>419</v>
      </c>
      <c r="C84" s="177"/>
      <c r="D84" s="268">
        <f>SUM(D5:D83)</f>
        <v>371429.62139445997</v>
      </c>
      <c r="E84" s="268">
        <f>SUM(E5:E83)</f>
        <v>377600.48480000003</v>
      </c>
      <c r="F84" s="268">
        <f>SUM(F5:F83)</f>
        <v>31466.707066666666</v>
      </c>
      <c r="G84" s="268">
        <f>SUM(G5:G83)</f>
        <v>43278</v>
      </c>
      <c r="H84" s="268">
        <f>SUM(H5:H83)</f>
        <v>382274.7328</v>
      </c>
    </row>
    <row r="85" spans="1:13" x14ac:dyDescent="0.2">
      <c r="D85" s="266"/>
      <c r="M85" s="120"/>
    </row>
    <row r="86" spans="1:13" x14ac:dyDescent="0.2">
      <c r="M86" s="120"/>
    </row>
    <row r="87" spans="1:13" ht="31.5" x14ac:dyDescent="0.2">
      <c r="D87" s="175"/>
      <c r="E87" s="175" t="s">
        <v>1159</v>
      </c>
      <c r="F87" s="175" t="s">
        <v>1156</v>
      </c>
      <c r="G87" s="175" t="s">
        <v>1181</v>
      </c>
    </row>
    <row r="88" spans="1:13" ht="18" x14ac:dyDescent="0.2">
      <c r="D88" s="267" t="s">
        <v>470</v>
      </c>
      <c r="E88" s="265">
        <f>D84</f>
        <v>371429.62139445997</v>
      </c>
      <c r="F88" s="265">
        <f>E84</f>
        <v>377600.48480000003</v>
      </c>
      <c r="G88" s="295">
        <f>H84</f>
        <v>382274.7328</v>
      </c>
    </row>
    <row r="89" spans="1:13" ht="18" x14ac:dyDescent="0.2">
      <c r="D89" s="267" t="s">
        <v>471</v>
      </c>
      <c r="E89" s="265">
        <f>'הוצאות 2'!D45</f>
        <v>371443.80497445993</v>
      </c>
      <c r="F89" s="265">
        <f>'הוצאות 2'!E45</f>
        <v>377600.05666370003</v>
      </c>
      <c r="G89" s="296">
        <f>'הוצאות 2'!H45</f>
        <v>382275.23066370003</v>
      </c>
    </row>
    <row r="90" spans="1:13" ht="18" x14ac:dyDescent="0.2">
      <c r="D90" s="298" t="s">
        <v>472</v>
      </c>
      <c r="E90" s="299">
        <v>0</v>
      </c>
      <c r="F90" s="297">
        <f t="shared" ref="F90" si="7">F88-F89</f>
        <v>0.42813630000455305</v>
      </c>
      <c r="G90" s="324">
        <v>0</v>
      </c>
    </row>
    <row r="91" spans="1:13" x14ac:dyDescent="0.2">
      <c r="M91" s="120"/>
    </row>
    <row r="92" spans="1:13" x14ac:dyDescent="0.2">
      <c r="M92" s="120"/>
    </row>
    <row r="93" spans="1:13" ht="18" x14ac:dyDescent="0.2">
      <c r="C93" s="131"/>
      <c r="M93" s="120"/>
    </row>
    <row r="94" spans="1:13" x14ac:dyDescent="0.2">
      <c r="M94" s="120"/>
    </row>
    <row r="95" spans="1:13" x14ac:dyDescent="0.2">
      <c r="M95" s="120"/>
    </row>
    <row r="96" spans="1:13" x14ac:dyDescent="0.2">
      <c r="M96" s="120"/>
    </row>
    <row r="97" spans="13:13" x14ac:dyDescent="0.2">
      <c r="M97" s="120"/>
    </row>
    <row r="98" spans="13:13" x14ac:dyDescent="0.2">
      <c r="M98" s="120"/>
    </row>
    <row r="99" spans="13:13" x14ac:dyDescent="0.2">
      <c r="M99" s="120"/>
    </row>
    <row r="100" spans="13:13" x14ac:dyDescent="0.2">
      <c r="M100" s="120"/>
    </row>
    <row r="101" spans="13:13" x14ac:dyDescent="0.2">
      <c r="M101" s="120"/>
    </row>
    <row r="102" spans="13:13" x14ac:dyDescent="0.2">
      <c r="M102" s="120"/>
    </row>
    <row r="103" spans="13:13" x14ac:dyDescent="0.2">
      <c r="M103" s="120"/>
    </row>
    <row r="104" spans="13:13" x14ac:dyDescent="0.2">
      <c r="M104" s="120"/>
    </row>
    <row r="105" spans="13:13" x14ac:dyDescent="0.2">
      <c r="M105" s="120"/>
    </row>
    <row r="106" spans="13:13" x14ac:dyDescent="0.2">
      <c r="M106" s="120"/>
    </row>
    <row r="107" spans="13:13" x14ac:dyDescent="0.2">
      <c r="M107" s="120"/>
    </row>
    <row r="108" spans="13:13" x14ac:dyDescent="0.2">
      <c r="M108" s="120"/>
    </row>
    <row r="109" spans="13:13" x14ac:dyDescent="0.2">
      <c r="M109" s="120"/>
    </row>
    <row r="110" spans="13:13" x14ac:dyDescent="0.2">
      <c r="M110" s="120"/>
    </row>
    <row r="111" spans="13:13" x14ac:dyDescent="0.2">
      <c r="M111" s="120"/>
    </row>
    <row r="112" spans="13:13" x14ac:dyDescent="0.2">
      <c r="M112" s="120"/>
    </row>
    <row r="113" spans="13:13" x14ac:dyDescent="0.2">
      <c r="M113" s="120"/>
    </row>
    <row r="114" spans="13:13" ht="0.75" customHeight="1" x14ac:dyDescent="0.2">
      <c r="M114" s="120"/>
    </row>
    <row r="115" spans="13:13" x14ac:dyDescent="0.2">
      <c r="M115" s="120"/>
    </row>
    <row r="116" spans="13:13" x14ac:dyDescent="0.2">
      <c r="M116" s="120"/>
    </row>
    <row r="117" spans="13:13" x14ac:dyDescent="0.2">
      <c r="M117" s="120"/>
    </row>
    <row r="118" spans="13:13" x14ac:dyDescent="0.2">
      <c r="M118" s="120"/>
    </row>
    <row r="119" spans="13:13" x14ac:dyDescent="0.2">
      <c r="M119" s="120"/>
    </row>
    <row r="120" spans="13:13" x14ac:dyDescent="0.2">
      <c r="M120" s="120"/>
    </row>
    <row r="121" spans="13:13" x14ac:dyDescent="0.2">
      <c r="M121" s="120"/>
    </row>
    <row r="122" spans="13:13" x14ac:dyDescent="0.2">
      <c r="M122" s="120"/>
    </row>
    <row r="123" spans="13:13" x14ac:dyDescent="0.2">
      <c r="M123" s="120"/>
    </row>
    <row r="124" spans="13:13" x14ac:dyDescent="0.2">
      <c r="M124" s="120"/>
    </row>
    <row r="125" spans="13:13" x14ac:dyDescent="0.2">
      <c r="M125" s="120"/>
    </row>
    <row r="126" spans="13:13" x14ac:dyDescent="0.2">
      <c r="M126" s="120"/>
    </row>
    <row r="127" spans="13:13" x14ac:dyDescent="0.2">
      <c r="M127" s="120"/>
    </row>
    <row r="128" spans="13:13" x14ac:dyDescent="0.2">
      <c r="M128" s="120"/>
    </row>
    <row r="129" spans="13:13" x14ac:dyDescent="0.2">
      <c r="M129" s="120"/>
    </row>
    <row r="130" spans="13:13" x14ac:dyDescent="0.2">
      <c r="M130" s="120"/>
    </row>
    <row r="131" spans="13:13" x14ac:dyDescent="0.2">
      <c r="M131" s="120"/>
    </row>
    <row r="132" spans="13:13" x14ac:dyDescent="0.2">
      <c r="M132" s="120"/>
    </row>
    <row r="133" spans="13:13" x14ac:dyDescent="0.2">
      <c r="M133" s="120"/>
    </row>
    <row r="134" spans="13:13" x14ac:dyDescent="0.2">
      <c r="M134" s="120"/>
    </row>
    <row r="135" spans="13:13" x14ac:dyDescent="0.2">
      <c r="M135" s="120"/>
    </row>
    <row r="136" spans="13:13" x14ac:dyDescent="0.2">
      <c r="M136" s="120"/>
    </row>
    <row r="137" spans="13:13" x14ac:dyDescent="0.2">
      <c r="M137" s="120"/>
    </row>
    <row r="138" spans="13:13" x14ac:dyDescent="0.2">
      <c r="M138" s="120"/>
    </row>
    <row r="139" spans="13:13" x14ac:dyDescent="0.2">
      <c r="M139" s="120"/>
    </row>
    <row r="140" spans="13:13" x14ac:dyDescent="0.2">
      <c r="M140" s="120"/>
    </row>
    <row r="141" spans="13:13" x14ac:dyDescent="0.2">
      <c r="M141" s="120"/>
    </row>
    <row r="142" spans="13:13" x14ac:dyDescent="0.2">
      <c r="M142" s="120"/>
    </row>
    <row r="143" spans="13:13" x14ac:dyDescent="0.2">
      <c r="M143" s="120"/>
    </row>
    <row r="144" spans="13:13" x14ac:dyDescent="0.2">
      <c r="M144" s="120"/>
    </row>
    <row r="145" spans="13:13" x14ac:dyDescent="0.2">
      <c r="M145" s="120"/>
    </row>
    <row r="146" spans="13:13" x14ac:dyDescent="0.2">
      <c r="M146" s="120"/>
    </row>
    <row r="147" spans="13:13" x14ac:dyDescent="0.2">
      <c r="M147" s="120"/>
    </row>
    <row r="148" spans="13:13" x14ac:dyDescent="0.2">
      <c r="M148" s="120"/>
    </row>
    <row r="149" spans="13:13" x14ac:dyDescent="0.2">
      <c r="M149" s="120"/>
    </row>
    <row r="150" spans="13:13" x14ac:dyDescent="0.2">
      <c r="M150" s="120"/>
    </row>
    <row r="151" spans="13:13" x14ac:dyDescent="0.2">
      <c r="M151" s="120"/>
    </row>
    <row r="152" spans="13:13" x14ac:dyDescent="0.2">
      <c r="M152" s="120"/>
    </row>
    <row r="153" spans="13:13" x14ac:dyDescent="0.2">
      <c r="M153" s="120"/>
    </row>
    <row r="154" spans="13:13" x14ac:dyDescent="0.2">
      <c r="M154" s="120"/>
    </row>
    <row r="155" spans="13:13" x14ac:dyDescent="0.2">
      <c r="M155" s="120"/>
    </row>
    <row r="156" spans="13:13" x14ac:dyDescent="0.2">
      <c r="M156" s="120"/>
    </row>
    <row r="157" spans="13:13" x14ac:dyDescent="0.2">
      <c r="M157" s="120"/>
    </row>
    <row r="158" spans="13:13" x14ac:dyDescent="0.2">
      <c r="M158" s="120"/>
    </row>
    <row r="159" spans="13:13" x14ac:dyDescent="0.2">
      <c r="M159" s="120"/>
    </row>
    <row r="160" spans="13:13" x14ac:dyDescent="0.2">
      <c r="M160" s="120"/>
    </row>
    <row r="161" spans="13:13" x14ac:dyDescent="0.2">
      <c r="M161" s="120"/>
    </row>
    <row r="162" spans="13:13" x14ac:dyDescent="0.2">
      <c r="M162" s="120"/>
    </row>
    <row r="163" spans="13:13" x14ac:dyDescent="0.2">
      <c r="M163" s="120"/>
    </row>
    <row r="164" spans="13:13" x14ac:dyDescent="0.2">
      <c r="M164" s="120"/>
    </row>
    <row r="165" spans="13:13" x14ac:dyDescent="0.2">
      <c r="M165" s="120"/>
    </row>
    <row r="166" spans="13:13" x14ac:dyDescent="0.2">
      <c r="M166" s="120"/>
    </row>
    <row r="167" spans="13:13" x14ac:dyDescent="0.2">
      <c r="M167" s="120"/>
    </row>
    <row r="168" spans="13:13" x14ac:dyDescent="0.2">
      <c r="M168" s="120"/>
    </row>
    <row r="169" spans="13:13" x14ac:dyDescent="0.2">
      <c r="M169" s="120"/>
    </row>
    <row r="170" spans="13:13" x14ac:dyDescent="0.2">
      <c r="M170" s="120"/>
    </row>
    <row r="171" spans="13:13" x14ac:dyDescent="0.2">
      <c r="M171" s="120"/>
    </row>
    <row r="172" spans="13:13" x14ac:dyDescent="0.2">
      <c r="M172" s="120"/>
    </row>
    <row r="173" spans="13:13" x14ac:dyDescent="0.2">
      <c r="M173" s="120"/>
    </row>
    <row r="174" spans="13:13" x14ac:dyDescent="0.2">
      <c r="M174" s="120"/>
    </row>
    <row r="175" spans="13:13" x14ac:dyDescent="0.2">
      <c r="M175" s="120"/>
    </row>
    <row r="176" spans="13:13" x14ac:dyDescent="0.2">
      <c r="M176" s="120"/>
    </row>
    <row r="177" spans="13:13" x14ac:dyDescent="0.2">
      <c r="M177" s="120"/>
    </row>
    <row r="178" spans="13:13" x14ac:dyDescent="0.2">
      <c r="M178" s="120"/>
    </row>
    <row r="179" spans="13:13" x14ac:dyDescent="0.2">
      <c r="M179" s="120"/>
    </row>
    <row r="180" spans="13:13" x14ac:dyDescent="0.2">
      <c r="M180" s="120"/>
    </row>
    <row r="181" spans="13:13" x14ac:dyDescent="0.2">
      <c r="M181" s="120"/>
    </row>
    <row r="182" spans="13:13" x14ac:dyDescent="0.2">
      <c r="M182" s="120"/>
    </row>
    <row r="183" spans="13:13" x14ac:dyDescent="0.2">
      <c r="M183" s="120"/>
    </row>
    <row r="184" spans="13:13" x14ac:dyDescent="0.2">
      <c r="M184" s="120"/>
    </row>
    <row r="185" spans="13:13" x14ac:dyDescent="0.2">
      <c r="M185" s="120"/>
    </row>
    <row r="186" spans="13:13" x14ac:dyDescent="0.2">
      <c r="M186" s="120"/>
    </row>
    <row r="187" spans="13:13" x14ac:dyDescent="0.2">
      <c r="M187" s="120"/>
    </row>
    <row r="188" spans="13:13" x14ac:dyDescent="0.2">
      <c r="M188" s="120"/>
    </row>
    <row r="189" spans="13:13" x14ac:dyDescent="0.2">
      <c r="M189" s="120"/>
    </row>
    <row r="190" spans="13:13" x14ac:dyDescent="0.2">
      <c r="M190" s="120"/>
    </row>
    <row r="191" spans="13:13" x14ac:dyDescent="0.2">
      <c r="M191" s="120"/>
    </row>
    <row r="192" spans="13:13" x14ac:dyDescent="0.2">
      <c r="M192" s="120"/>
    </row>
    <row r="193" spans="13:13" x14ac:dyDescent="0.2">
      <c r="M193" s="120"/>
    </row>
    <row r="194" spans="13:13" x14ac:dyDescent="0.2">
      <c r="M194" s="120"/>
    </row>
    <row r="195" spans="13:13" x14ac:dyDescent="0.2">
      <c r="M195" s="120"/>
    </row>
    <row r="196" spans="13:13" x14ac:dyDescent="0.2">
      <c r="M196" s="120"/>
    </row>
    <row r="197" spans="13:13" x14ac:dyDescent="0.2">
      <c r="M197" s="120"/>
    </row>
    <row r="198" spans="13:13" x14ac:dyDescent="0.2">
      <c r="M198" s="120"/>
    </row>
    <row r="199" spans="13:13" x14ac:dyDescent="0.2">
      <c r="M199" s="120"/>
    </row>
    <row r="200" spans="13:13" x14ac:dyDescent="0.2">
      <c r="M200" s="120"/>
    </row>
    <row r="201" spans="13:13" x14ac:dyDescent="0.2">
      <c r="M201" s="120"/>
    </row>
    <row r="202" spans="13:13" x14ac:dyDescent="0.2">
      <c r="M202" s="120"/>
    </row>
    <row r="203" spans="13:13" x14ac:dyDescent="0.2">
      <c r="M203" s="120"/>
    </row>
    <row r="204" spans="13:13" x14ac:dyDescent="0.2">
      <c r="M204" s="120"/>
    </row>
    <row r="205" spans="13:13" x14ac:dyDescent="0.2">
      <c r="M205" s="120"/>
    </row>
    <row r="206" spans="13:13" x14ac:dyDescent="0.2">
      <c r="M206" s="120"/>
    </row>
    <row r="207" spans="13:13" x14ac:dyDescent="0.2">
      <c r="M207" s="120"/>
    </row>
    <row r="208" spans="13:13" x14ac:dyDescent="0.2">
      <c r="M208" s="120"/>
    </row>
    <row r="209" spans="13:13" x14ac:dyDescent="0.2">
      <c r="M209" s="120"/>
    </row>
    <row r="210" spans="13:13" x14ac:dyDescent="0.2">
      <c r="M210" s="120"/>
    </row>
    <row r="211" spans="13:13" x14ac:dyDescent="0.2">
      <c r="M211" s="120"/>
    </row>
    <row r="212" spans="13:13" x14ac:dyDescent="0.2">
      <c r="M212" s="120"/>
    </row>
    <row r="213" spans="13:13" x14ac:dyDescent="0.2">
      <c r="M213" s="120"/>
    </row>
    <row r="214" spans="13:13" x14ac:dyDescent="0.2">
      <c r="M214" s="120"/>
    </row>
    <row r="215" spans="13:13" x14ac:dyDescent="0.2">
      <c r="M215" s="120"/>
    </row>
    <row r="216" spans="13:13" x14ac:dyDescent="0.2">
      <c r="M216" s="120"/>
    </row>
  </sheetData>
  <mergeCells count="10">
    <mergeCell ref="A2:H2"/>
    <mergeCell ref="D53:D54"/>
    <mergeCell ref="E53:E54"/>
    <mergeCell ref="A62:A63"/>
    <mergeCell ref="A55:A56"/>
    <mergeCell ref="A58:A59"/>
    <mergeCell ref="A60:A61"/>
    <mergeCell ref="F53:F54"/>
    <mergeCell ref="G53:G54"/>
    <mergeCell ref="H53:H54"/>
  </mergeCells>
  <phoneticPr fontId="31" type="noConversion"/>
  <pageMargins left="0.27559055118110237" right="0.27559055118110237" top="0.27559055118110237" bottom="0.15748031496062992" header="0.23622047244094491" footer="0.15748031496062992"/>
  <pageSetup scale="57" orientation="portrait" useFirstPageNumber="1" r:id="rId1"/>
  <headerFooter>
    <oddFooter>עמוד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/>
  <dimension ref="A1"/>
  <sheetViews>
    <sheetView rightToLeft="1" topLeftCell="B23"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5">
    <pageSetUpPr fitToPage="1"/>
  </sheetPr>
  <dimension ref="A2:Q79"/>
  <sheetViews>
    <sheetView rightToLeft="1" topLeftCell="H1" zoomScale="110" zoomScaleNormal="110" zoomScaleSheetLayoutView="100" workbookViewId="0">
      <selection activeCell="S1" sqref="S1"/>
    </sheetView>
  </sheetViews>
  <sheetFormatPr defaultColWidth="8.75" defaultRowHeight="14.25" x14ac:dyDescent="0.2"/>
  <cols>
    <col min="1" max="1" width="3.375" style="144" bestFit="1" customWidth="1"/>
    <col min="2" max="2" width="7.5" style="133" bestFit="1" customWidth="1"/>
    <col min="3" max="3" width="18.25" style="133" bestFit="1" customWidth="1"/>
    <col min="4" max="4" width="13.75" style="133" bestFit="1" customWidth="1"/>
    <col min="5" max="8" width="14" style="133" customWidth="1"/>
    <col min="9" max="14" width="14" style="133" bestFit="1" customWidth="1"/>
    <col min="15" max="15" width="12.25" style="133" bestFit="1" customWidth="1"/>
    <col min="16" max="16" width="17.625" style="133" bestFit="1" customWidth="1"/>
    <col min="17" max="17" width="10.875" style="147" bestFit="1" customWidth="1"/>
    <col min="18" max="16384" width="8.75" style="133"/>
  </cols>
  <sheetData>
    <row r="2" spans="1:17" ht="23.25" x14ac:dyDescent="0.2">
      <c r="A2" s="408" t="s">
        <v>1163</v>
      </c>
      <c r="B2" s="408"/>
      <c r="C2" s="408"/>
      <c r="D2" s="408"/>
      <c r="E2" s="408"/>
      <c r="F2" s="408"/>
      <c r="G2" s="408"/>
      <c r="H2" s="408"/>
      <c r="I2" s="408"/>
      <c r="J2" s="408"/>
      <c r="K2" s="269"/>
      <c r="L2" s="269"/>
      <c r="M2" s="269"/>
      <c r="N2" s="269"/>
      <c r="O2" s="269"/>
      <c r="P2" s="269"/>
      <c r="Q2" s="269"/>
    </row>
    <row r="3" spans="1:17" ht="15" x14ac:dyDescent="0.2">
      <c r="A3" s="134"/>
      <c r="B3" s="117"/>
      <c r="Q3" s="135"/>
    </row>
    <row r="4" spans="1:17" s="125" customFormat="1" ht="31.5" x14ac:dyDescent="0.2">
      <c r="A4" s="123" t="s">
        <v>597</v>
      </c>
      <c r="B4" s="123" t="s">
        <v>386</v>
      </c>
      <c r="C4" s="123" t="s">
        <v>387</v>
      </c>
      <c r="D4" s="113" t="s">
        <v>1159</v>
      </c>
      <c r="E4" s="113" t="s">
        <v>1156</v>
      </c>
      <c r="F4" s="175" t="s">
        <v>1160</v>
      </c>
      <c r="G4" s="175" t="s">
        <v>1161</v>
      </c>
      <c r="H4" s="175" t="s">
        <v>1162</v>
      </c>
      <c r="I4" s="113" t="s">
        <v>998</v>
      </c>
    </row>
    <row r="5" spans="1:17" ht="16.5" customHeight="1" x14ac:dyDescent="0.2">
      <c r="A5" s="121">
        <v>1</v>
      </c>
      <c r="B5" s="121">
        <v>110</v>
      </c>
      <c r="C5" s="136" t="s">
        <v>388</v>
      </c>
      <c r="D5" s="214">
        <f>'הוצאות שכר 6'!C139-'הוצאות שכר 6'!C129</f>
        <v>139402.40557999999</v>
      </c>
      <c r="E5" s="214">
        <f>'הוצאות שכר 6'!D139-'הוצאות שכר 6'!D129</f>
        <v>141839.05666370003</v>
      </c>
      <c r="F5" s="214">
        <f>E5/12</f>
        <v>11819.921388641669</v>
      </c>
      <c r="G5" s="214">
        <f>'הוצאות שכר 6'!F139-'הוצאות שכר 6'!F129</f>
        <v>11266</v>
      </c>
      <c r="H5" s="396">
        <f>'הוצאות שכר 6'!G139-'הוצאות שכר 6'!G129</f>
        <v>144047.35666370002</v>
      </c>
      <c r="I5" s="319" t="s">
        <v>1200</v>
      </c>
      <c r="Q5" s="133"/>
    </row>
    <row r="6" spans="1:17" ht="16.5" customHeight="1" x14ac:dyDescent="0.2">
      <c r="A6" s="121">
        <v>2</v>
      </c>
      <c r="B6" s="121" t="s">
        <v>1091</v>
      </c>
      <c r="C6" s="136" t="s">
        <v>389</v>
      </c>
      <c r="D6" s="214">
        <f>'הוצאות שכר 6'!C129</f>
        <v>30290</v>
      </c>
      <c r="E6" s="214">
        <f>'הוצאות שכר 6'!D129</f>
        <v>30290</v>
      </c>
      <c r="F6" s="214">
        <f t="shared" ref="F6:F44" si="0">E6/12</f>
        <v>2524.1666666666665</v>
      </c>
      <c r="G6" s="214">
        <f>'הוצאות שכר 6'!F129</f>
        <v>2233</v>
      </c>
      <c r="H6" s="214">
        <f>'הוצאות שכר 6'!G129</f>
        <v>30290</v>
      </c>
      <c r="I6" s="319" t="s">
        <v>1200</v>
      </c>
      <c r="Q6" s="133"/>
    </row>
    <row r="7" spans="1:17" ht="16.5" customHeight="1" x14ac:dyDescent="0.2">
      <c r="A7" s="121">
        <v>3</v>
      </c>
      <c r="B7" s="121">
        <v>410</v>
      </c>
      <c r="C7" s="136" t="s">
        <v>390</v>
      </c>
      <c r="D7" s="214">
        <f>'שכד ביטוחים עיתונים ומשלחות 7  '!D5</f>
        <v>84</v>
      </c>
      <c r="E7" s="214">
        <f>'שכד ביטוחים עיתונים ומשלחות 7  '!E5</f>
        <v>84</v>
      </c>
      <c r="F7" s="214">
        <f t="shared" si="0"/>
        <v>7</v>
      </c>
      <c r="G7" s="214">
        <f>'שכד ביטוחים עיתונים ומשלחות 7  '!G5</f>
        <v>0</v>
      </c>
      <c r="H7" s="214">
        <f>'שכד ביטוחים עיתונים ומשלחות 7  '!H5</f>
        <v>84</v>
      </c>
      <c r="I7" s="137" t="s">
        <v>1205</v>
      </c>
      <c r="Q7" s="133"/>
    </row>
    <row r="8" spans="1:17" ht="16.5" customHeight="1" x14ac:dyDescent="0.2">
      <c r="A8" s="121">
        <v>4</v>
      </c>
      <c r="B8" s="121">
        <v>420</v>
      </c>
      <c r="C8" s="136" t="s">
        <v>631</v>
      </c>
      <c r="D8" s="214">
        <f>' 18 הג"א'!D27</f>
        <v>480</v>
      </c>
      <c r="E8" s="214">
        <f>' 18 הג"א'!E27</f>
        <v>480</v>
      </c>
      <c r="F8" s="214">
        <f t="shared" si="0"/>
        <v>40</v>
      </c>
      <c r="G8" s="214">
        <f>' 18 הג"א'!G27</f>
        <v>156</v>
      </c>
      <c r="H8" s="214">
        <f>' 18 הג"א'!H27</f>
        <v>480</v>
      </c>
      <c r="I8" s="320" t="s">
        <v>1210</v>
      </c>
      <c r="Q8" s="133"/>
    </row>
    <row r="9" spans="1:17" ht="16.5" customHeight="1" x14ac:dyDescent="0.2">
      <c r="A9" s="121">
        <v>5</v>
      </c>
      <c r="B9" s="121">
        <v>422</v>
      </c>
      <c r="C9" s="136" t="s">
        <v>1090</v>
      </c>
      <c r="D9" s="214">
        <f>'תיקונים ורישוי 13'!F51</f>
        <v>85</v>
      </c>
      <c r="E9" s="214">
        <f>'תיקונים ורישוי 13'!G51</f>
        <v>85</v>
      </c>
      <c r="F9" s="214">
        <f t="shared" si="0"/>
        <v>7.083333333333333</v>
      </c>
      <c r="G9" s="214">
        <v>0</v>
      </c>
      <c r="H9" s="214">
        <f>'תיקונים ורישוי 13'!H51</f>
        <v>85</v>
      </c>
      <c r="I9" s="320" t="s">
        <v>1206</v>
      </c>
      <c r="Q9" s="133"/>
    </row>
    <row r="10" spans="1:17" ht="30" x14ac:dyDescent="0.2">
      <c r="A10" s="121">
        <v>6</v>
      </c>
      <c r="B10" s="241" t="s">
        <v>391</v>
      </c>
      <c r="C10" s="138" t="s">
        <v>392</v>
      </c>
      <c r="D10" s="214">
        <f>'חשמל ומים 11'!D28</f>
        <v>5368</v>
      </c>
      <c r="E10" s="214">
        <f>'חשמל ומים 11'!E28</f>
        <v>5276</v>
      </c>
      <c r="F10" s="214">
        <f t="shared" si="0"/>
        <v>439.66666666666669</v>
      </c>
      <c r="G10" s="214">
        <v>518</v>
      </c>
      <c r="H10" s="214">
        <f>'חשמל ומים 11'!F28</f>
        <v>5693</v>
      </c>
      <c r="I10" s="321" t="s">
        <v>1204</v>
      </c>
      <c r="Q10" s="133"/>
    </row>
    <row r="11" spans="1:17" ht="18.75" customHeight="1" x14ac:dyDescent="0.2">
      <c r="A11" s="121">
        <v>7</v>
      </c>
      <c r="B11" s="121">
        <v>440</v>
      </c>
      <c r="C11" s="136" t="s">
        <v>393</v>
      </c>
      <c r="D11" s="216">
        <f>'שכד ביטוחים עיתונים ומשלחות 7  '!D15</f>
        <v>3410</v>
      </c>
      <c r="E11" s="216">
        <f>'שכד ביטוחים עיתונים ומשלחות 7  '!E15</f>
        <v>3410</v>
      </c>
      <c r="F11" s="214">
        <f t="shared" si="0"/>
        <v>284.16666666666669</v>
      </c>
      <c r="G11" s="216">
        <v>2051</v>
      </c>
      <c r="H11" s="216">
        <f>'שכד ביטוחים עיתונים ומשלחות 7  '!H15</f>
        <v>3410</v>
      </c>
      <c r="I11" s="320" t="s">
        <v>1203</v>
      </c>
      <c r="Q11" s="133"/>
    </row>
    <row r="12" spans="1:17" ht="30" x14ac:dyDescent="0.2">
      <c r="A12" s="121">
        <v>8</v>
      </c>
      <c r="B12" s="121">
        <v>470</v>
      </c>
      <c r="C12" s="138" t="s">
        <v>394</v>
      </c>
      <c r="D12" s="216">
        <f>'ציוד משרדי וכיבוד 10'!D42</f>
        <v>763</v>
      </c>
      <c r="E12" s="216">
        <f>'ציוד משרדי וכיבוד 10'!E42</f>
        <v>753</v>
      </c>
      <c r="F12" s="214">
        <f t="shared" si="0"/>
        <v>62.75</v>
      </c>
      <c r="G12" s="216">
        <f>'ציוד משרדי וכיבוד 10'!G42</f>
        <v>65</v>
      </c>
      <c r="H12" s="216">
        <f>'ציוד משרדי וכיבוד 10'!H42</f>
        <v>753</v>
      </c>
      <c r="I12" s="321" t="s">
        <v>1213</v>
      </c>
      <c r="Q12" s="133"/>
    </row>
    <row r="13" spans="1:17" ht="17.25" customHeight="1" x14ac:dyDescent="0.2">
      <c r="A13" s="121">
        <v>9</v>
      </c>
      <c r="B13" s="121">
        <v>511</v>
      </c>
      <c r="C13" s="136" t="s">
        <v>395</v>
      </c>
      <c r="D13" s="216">
        <f>'ציוד משרדי וכיבוד 10'!D57</f>
        <v>160</v>
      </c>
      <c r="E13" s="216">
        <f>'ציוד משרדי וכיבוד 10'!E57</f>
        <v>140</v>
      </c>
      <c r="F13" s="214">
        <f t="shared" si="0"/>
        <v>11.666666666666666</v>
      </c>
      <c r="G13" s="216">
        <f>'ציוד משרדי וכיבוד 10'!G57</f>
        <v>28</v>
      </c>
      <c r="H13" s="216">
        <f>'ציוד משרדי וכיבוד 10'!H57</f>
        <v>141</v>
      </c>
      <c r="I13" s="321" t="s">
        <v>1213</v>
      </c>
      <c r="Q13" s="133"/>
    </row>
    <row r="14" spans="1:17" ht="17.25" customHeight="1" x14ac:dyDescent="0.2">
      <c r="A14" s="121">
        <v>10</v>
      </c>
      <c r="B14" s="121">
        <v>513</v>
      </c>
      <c r="C14" s="138" t="s">
        <v>396</v>
      </c>
      <c r="D14" s="216">
        <f>'שכד ביטוחים עיתונים ומשלחות 7  '!D22</f>
        <v>17</v>
      </c>
      <c r="E14" s="216">
        <f>'שכד ביטוחים עיתונים ומשלחות 7  '!E22</f>
        <v>17</v>
      </c>
      <c r="F14" s="214">
        <f t="shared" si="0"/>
        <v>1.4166666666666667</v>
      </c>
      <c r="G14" s="216">
        <f>'שכד ביטוחים עיתונים ומשלחות 7  '!G22</f>
        <v>0</v>
      </c>
      <c r="H14" s="216">
        <f>'שכד ביטוחים עיתונים ומשלחות 7  '!H22</f>
        <v>17</v>
      </c>
      <c r="I14" s="140" t="s">
        <v>1205</v>
      </c>
      <c r="Q14" s="133"/>
    </row>
    <row r="15" spans="1:17" ht="17.25" customHeight="1" x14ac:dyDescent="0.2">
      <c r="A15" s="121">
        <v>11</v>
      </c>
      <c r="B15" s="121">
        <v>522</v>
      </c>
      <c r="C15" s="136" t="s">
        <v>397</v>
      </c>
      <c r="D15" s="216">
        <f>'שכד ביטוחים עיתונים ומשלחות 7  '!D30</f>
        <v>2</v>
      </c>
      <c r="E15" s="216">
        <f>'שכד ביטוחים עיתונים ומשלחות 7  '!E30</f>
        <v>2</v>
      </c>
      <c r="F15" s="214">
        <f t="shared" si="0"/>
        <v>0.16666666666666666</v>
      </c>
      <c r="G15" s="216">
        <f>'שכד ביטוחים עיתונים ומשלחות 7  '!G30</f>
        <v>0</v>
      </c>
      <c r="H15" s="216">
        <f>'שכד ביטוחים עיתונים ומשלחות 7  '!H30</f>
        <v>2</v>
      </c>
      <c r="I15" s="137" t="s">
        <v>1205</v>
      </c>
      <c r="Q15" s="133"/>
    </row>
    <row r="16" spans="1:17" ht="30" x14ac:dyDescent="0.2">
      <c r="A16" s="121">
        <v>12</v>
      </c>
      <c r="B16" s="121">
        <v>530</v>
      </c>
      <c r="C16" s="138" t="s">
        <v>578</v>
      </c>
      <c r="D16" s="216">
        <f>'דלק ורכבים 12'!E34</f>
        <v>384</v>
      </c>
      <c r="E16" s="216">
        <f>'דלק ורכבים 12'!F34</f>
        <v>384</v>
      </c>
      <c r="F16" s="214">
        <f t="shared" si="0"/>
        <v>32</v>
      </c>
      <c r="G16" s="216">
        <v>0</v>
      </c>
      <c r="H16" s="216">
        <f>'דלק ורכבים 12'!G34</f>
        <v>384</v>
      </c>
      <c r="I16" s="320" t="s">
        <v>1207</v>
      </c>
      <c r="Q16" s="133"/>
    </row>
    <row r="17" spans="1:17" ht="20.25" customHeight="1" x14ac:dyDescent="0.2">
      <c r="A17" s="121">
        <v>13</v>
      </c>
      <c r="B17" s="121">
        <v>531</v>
      </c>
      <c r="C17" s="136" t="s">
        <v>398</v>
      </c>
      <c r="D17" s="216">
        <f>'דלק ורכבים 12'!E24</f>
        <v>1335</v>
      </c>
      <c r="E17" s="216">
        <f>'דלק ורכבים 12'!F24</f>
        <v>1342</v>
      </c>
      <c r="F17" s="214">
        <f t="shared" si="0"/>
        <v>111.83333333333333</v>
      </c>
      <c r="G17" s="216">
        <v>55</v>
      </c>
      <c r="H17" s="216">
        <f>'דלק ורכבים 12'!G24</f>
        <v>1342</v>
      </c>
      <c r="I17" s="320" t="s">
        <v>1207</v>
      </c>
      <c r="Q17" s="133"/>
    </row>
    <row r="18" spans="1:17" ht="20.25" customHeight="1" x14ac:dyDescent="0.2">
      <c r="A18" s="121">
        <v>14</v>
      </c>
      <c r="B18" s="121">
        <v>532</v>
      </c>
      <c r="C18" s="138" t="s">
        <v>399</v>
      </c>
      <c r="D18" s="216">
        <f>'תיקונים ורישוי 13'!F28</f>
        <v>942</v>
      </c>
      <c r="E18" s="216">
        <f>'תיקונים ורישוי 13'!G28</f>
        <v>1360</v>
      </c>
      <c r="F18" s="214">
        <f t="shared" si="0"/>
        <v>113.33333333333333</v>
      </c>
      <c r="G18" s="216">
        <v>73</v>
      </c>
      <c r="H18" s="216">
        <f>'תיקונים ורישוי 13'!H28</f>
        <v>1407</v>
      </c>
      <c r="I18" s="322" t="s">
        <v>1206</v>
      </c>
      <c r="Q18" s="133"/>
    </row>
    <row r="19" spans="1:17" ht="20.25" customHeight="1" x14ac:dyDescent="0.2">
      <c r="A19" s="121">
        <v>15</v>
      </c>
      <c r="B19" s="121">
        <v>533</v>
      </c>
      <c r="C19" s="136" t="s">
        <v>1171</v>
      </c>
      <c r="D19" s="216">
        <f>'תיקונים ורישוי 13'!F46</f>
        <v>415</v>
      </c>
      <c r="E19" s="216">
        <f>'תיקונים ורישוי 13'!G46</f>
        <v>415</v>
      </c>
      <c r="F19" s="214">
        <f t="shared" si="0"/>
        <v>34.583333333333336</v>
      </c>
      <c r="G19" s="216">
        <v>1</v>
      </c>
      <c r="H19" s="216">
        <f>'תיקונים ורישוי 13'!H46</f>
        <v>415</v>
      </c>
      <c r="I19" s="322" t="s">
        <v>1206</v>
      </c>
      <c r="Q19" s="133"/>
    </row>
    <row r="20" spans="1:17" ht="20.25" customHeight="1" x14ac:dyDescent="0.2">
      <c r="A20" s="121">
        <v>16</v>
      </c>
      <c r="B20" s="121">
        <v>534</v>
      </c>
      <c r="C20" s="136" t="s">
        <v>400</v>
      </c>
      <c r="D20" s="216">
        <f>'ליסינג 14'!E21</f>
        <v>1669</v>
      </c>
      <c r="E20" s="216">
        <f>'ליסינג 14'!F21</f>
        <v>1804</v>
      </c>
      <c r="F20" s="214">
        <f t="shared" si="0"/>
        <v>150.33333333333334</v>
      </c>
      <c r="G20" s="216">
        <v>149</v>
      </c>
      <c r="H20" s="216">
        <f>'ליסינג 14'!G21</f>
        <v>1863</v>
      </c>
      <c r="I20" s="322" t="s">
        <v>1202</v>
      </c>
      <c r="Q20" s="133"/>
    </row>
    <row r="21" spans="1:17" ht="30" x14ac:dyDescent="0.2">
      <c r="A21" s="121">
        <v>17</v>
      </c>
      <c r="B21" s="121">
        <v>540</v>
      </c>
      <c r="C21" s="138" t="s">
        <v>401</v>
      </c>
      <c r="D21" s="216">
        <f>'תקשורת פרסום ומחשוב 15'!F6</f>
        <v>1586</v>
      </c>
      <c r="E21" s="216">
        <f>'תקשורת פרסום ומחשוב 15'!G6</f>
        <v>1586</v>
      </c>
      <c r="F21" s="214">
        <f t="shared" si="0"/>
        <v>132.16666666666666</v>
      </c>
      <c r="G21" s="216">
        <f>'תקשורת פרסום ומחשוב 15'!I6</f>
        <v>6</v>
      </c>
      <c r="H21" s="216">
        <f>'תקשורת פרסום ומחשוב 15'!J6</f>
        <v>1586</v>
      </c>
      <c r="I21" s="322" t="s">
        <v>1214</v>
      </c>
      <c r="Q21" s="133"/>
    </row>
    <row r="22" spans="1:17" ht="26.25" customHeight="1" x14ac:dyDescent="0.2">
      <c r="A22" s="121">
        <v>18</v>
      </c>
      <c r="B22" s="121">
        <v>550</v>
      </c>
      <c r="C22" s="136" t="s">
        <v>402</v>
      </c>
      <c r="D22" s="216">
        <f>'תקשורת פרסום ומחשוב 15'!F15</f>
        <v>301</v>
      </c>
      <c r="E22" s="216">
        <f>'תקשורת פרסום ומחשוב 15'!G15</f>
        <v>301</v>
      </c>
      <c r="F22" s="214">
        <f t="shared" si="0"/>
        <v>25.083333333333332</v>
      </c>
      <c r="G22" s="216">
        <f>'תקשורת פרסום ומחשוב 15'!I15</f>
        <v>92</v>
      </c>
      <c r="H22" s="216">
        <f>'תקשורת פרסום ומחשוב 15'!J15</f>
        <v>391</v>
      </c>
      <c r="I22" s="322" t="s">
        <v>1214</v>
      </c>
      <c r="Q22" s="133"/>
    </row>
    <row r="23" spans="1:17" ht="45" x14ac:dyDescent="0.2">
      <c r="A23" s="121">
        <v>19</v>
      </c>
      <c r="B23" s="121">
        <v>570</v>
      </c>
      <c r="C23" s="138" t="s">
        <v>403</v>
      </c>
      <c r="D23" s="214">
        <f>'תקשורת פרסום ומחשוב 15'!F25</f>
        <v>1368</v>
      </c>
      <c r="E23" s="214">
        <f>'תקשורת פרסום ומחשוב 15'!G25</f>
        <v>1368</v>
      </c>
      <c r="F23" s="214">
        <f t="shared" si="0"/>
        <v>114</v>
      </c>
      <c r="G23" s="214">
        <f>'תקשורת פרסום ומחשוב 15'!I25</f>
        <v>110</v>
      </c>
      <c r="H23" s="214">
        <f>'תקשורת פרסום ומחשוב 15'!J25</f>
        <v>1338</v>
      </c>
      <c r="I23" s="322" t="s">
        <v>1214</v>
      </c>
      <c r="Q23" s="133"/>
    </row>
    <row r="24" spans="1:17" ht="18" customHeight="1" x14ac:dyDescent="0.2">
      <c r="A24" s="121">
        <v>20</v>
      </c>
      <c r="B24" s="121">
        <v>610</v>
      </c>
      <c r="C24" s="136" t="s">
        <v>404</v>
      </c>
      <c r="D24" s="214">
        <f>'ריבית ועמלות ופרעון 16'!F8</f>
        <v>1201</v>
      </c>
      <c r="E24" s="214">
        <f>'ריבית ועמלות ופרעון 16'!G8</f>
        <v>1200</v>
      </c>
      <c r="F24" s="214">
        <f t="shared" si="0"/>
        <v>100</v>
      </c>
      <c r="G24" s="214">
        <f>'ריבית ועמלות ופרעון 16'!I8</f>
        <v>196</v>
      </c>
      <c r="H24" s="214">
        <f>'ריבית ועמלות ופרעון 16'!J8</f>
        <v>1100</v>
      </c>
      <c r="I24" s="320" t="s">
        <v>1215</v>
      </c>
      <c r="Q24" s="133"/>
    </row>
    <row r="25" spans="1:17" ht="27.75" customHeight="1" x14ac:dyDescent="0.2">
      <c r="A25" s="121">
        <v>21</v>
      </c>
      <c r="B25" s="121" t="s">
        <v>405</v>
      </c>
      <c r="C25" s="138" t="s">
        <v>406</v>
      </c>
      <c r="D25" s="214">
        <f>'ריבית ועמלות ופרעון 16'!F21</f>
        <v>12878</v>
      </c>
      <c r="E25" s="214">
        <f>'ריבית ועמלות ופרעון 16'!G21</f>
        <v>14732</v>
      </c>
      <c r="F25" s="214">
        <f t="shared" si="0"/>
        <v>1227.6666666666667</v>
      </c>
      <c r="G25" s="214">
        <f>'ריבית ועמלות ופרעון 16'!I21</f>
        <v>1462</v>
      </c>
      <c r="H25" s="214">
        <f>'ריבית ועמלות ופרעון 16'!J21</f>
        <v>17259.000000000004</v>
      </c>
      <c r="I25" s="320" t="s">
        <v>1215</v>
      </c>
      <c r="Q25" s="133"/>
    </row>
    <row r="26" spans="1:17" ht="16.5" customHeight="1" x14ac:dyDescent="0.2">
      <c r="A26" s="121">
        <v>22</v>
      </c>
      <c r="B26" s="121">
        <v>710</v>
      </c>
      <c r="C26" s="136" t="s">
        <v>407</v>
      </c>
      <c r="D26" s="214">
        <f>'עבודות קבלניות 17'!D58</f>
        <v>7020</v>
      </c>
      <c r="E26" s="214">
        <f>'עבודות קבלניות 17'!E58</f>
        <v>7300</v>
      </c>
      <c r="F26" s="214">
        <f t="shared" si="0"/>
        <v>608.33333333333337</v>
      </c>
      <c r="G26" s="214">
        <f>'עבודות קבלניות 17'!G58</f>
        <v>19</v>
      </c>
      <c r="H26" s="214">
        <f>'עבודות קבלניות 17'!H58</f>
        <v>7250</v>
      </c>
      <c r="I26" s="322" t="s">
        <v>1216</v>
      </c>
      <c r="Q26" s="133"/>
    </row>
    <row r="27" spans="1:17" ht="16.5" customHeight="1" x14ac:dyDescent="0.2">
      <c r="A27" s="121">
        <v>23</v>
      </c>
      <c r="B27" s="121">
        <v>720</v>
      </c>
      <c r="C27" s="138" t="s">
        <v>408</v>
      </c>
      <c r="D27" s="214">
        <f>'חשמל ומים 11'!D35</f>
        <v>2296</v>
      </c>
      <c r="E27" s="214">
        <f>'חשמל ומים 11'!E35</f>
        <v>2296</v>
      </c>
      <c r="F27" s="214">
        <f t="shared" si="0"/>
        <v>191.33333333333334</v>
      </c>
      <c r="G27" s="214">
        <v>95</v>
      </c>
      <c r="H27" s="214">
        <f>'חשמל ומים 11'!F35</f>
        <v>2200</v>
      </c>
      <c r="I27" s="321" t="s">
        <v>1204</v>
      </c>
      <c r="Q27" s="133"/>
    </row>
    <row r="28" spans="1:17" ht="16.5" customHeight="1" x14ac:dyDescent="0.2">
      <c r="A28" s="121">
        <v>24</v>
      </c>
      <c r="B28" s="121">
        <v>750</v>
      </c>
      <c r="C28" s="136" t="s">
        <v>409</v>
      </c>
      <c r="D28" s="214">
        <f>'עבודות קבלניות 17'!D27</f>
        <v>28156</v>
      </c>
      <c r="E28" s="214">
        <f>'עבודות קבלניות 17'!E27</f>
        <v>27731</v>
      </c>
      <c r="F28" s="214">
        <f t="shared" si="0"/>
        <v>2310.9166666666665</v>
      </c>
      <c r="G28" s="214">
        <f>'עבודות קבלניות 17'!G27</f>
        <v>1674</v>
      </c>
      <c r="H28" s="214">
        <f>'עבודות קבלניות 17'!H27</f>
        <v>27971</v>
      </c>
      <c r="I28" s="322" t="s">
        <v>1216</v>
      </c>
      <c r="Q28" s="133"/>
    </row>
    <row r="29" spans="1:17" ht="16.5" customHeight="1" x14ac:dyDescent="0.2">
      <c r="A29" s="121">
        <v>25</v>
      </c>
      <c r="B29" s="121">
        <v>760</v>
      </c>
      <c r="C29" s="136" t="s">
        <v>973</v>
      </c>
      <c r="D29" s="214">
        <f>'עבודות קבלניות 17'!D33</f>
        <v>850</v>
      </c>
      <c r="E29" s="214">
        <v>600</v>
      </c>
      <c r="F29" s="214">
        <f t="shared" si="0"/>
        <v>50</v>
      </c>
      <c r="G29" s="214">
        <v>17</v>
      </c>
      <c r="H29" s="214">
        <f>'עבודות קבלניות 17'!H33</f>
        <v>650</v>
      </c>
      <c r="I29" s="322" t="s">
        <v>1216</v>
      </c>
      <c r="Q29" s="133"/>
    </row>
    <row r="30" spans="1:17" ht="47.25" customHeight="1" x14ac:dyDescent="0.2">
      <c r="A30" s="121">
        <v>26</v>
      </c>
      <c r="B30" s="121">
        <v>780</v>
      </c>
      <c r="C30" s="138" t="s">
        <v>410</v>
      </c>
      <c r="D30" s="214">
        <f>'19-780'!D98</f>
        <v>14292.5</v>
      </c>
      <c r="E30" s="214">
        <f>'19-780'!E98</f>
        <v>13773</v>
      </c>
      <c r="F30" s="214">
        <f t="shared" si="0"/>
        <v>1147.75</v>
      </c>
      <c r="G30" s="214">
        <f>'19-780'!G98</f>
        <v>3711</v>
      </c>
      <c r="H30" s="214">
        <f>'19-780'!H98</f>
        <v>15484.324000000002</v>
      </c>
      <c r="I30" s="322" t="s">
        <v>1201</v>
      </c>
      <c r="Q30" s="133"/>
    </row>
    <row r="31" spans="1:17" ht="20.25" customHeight="1" x14ac:dyDescent="0.2">
      <c r="A31" s="121">
        <v>27</v>
      </c>
      <c r="B31" s="121">
        <v>781</v>
      </c>
      <c r="C31" s="136" t="s">
        <v>411</v>
      </c>
      <c r="D31" s="214">
        <f>'עבודות קבלניות 17'!D45</f>
        <v>232.5</v>
      </c>
      <c r="E31" s="214">
        <f>'עבודות קבלניות 17'!E45</f>
        <v>651</v>
      </c>
      <c r="F31" s="214">
        <f t="shared" si="0"/>
        <v>54.25</v>
      </c>
      <c r="G31" s="214">
        <f>'עבודות קבלניות 17'!G45</f>
        <v>79</v>
      </c>
      <c r="H31" s="214">
        <f>'עבודות קבלניות 17'!H45</f>
        <v>412.7</v>
      </c>
      <c r="I31" s="322" t="s">
        <v>1201</v>
      </c>
      <c r="Q31" s="133"/>
    </row>
    <row r="32" spans="1:17" ht="45" x14ac:dyDescent="0.2">
      <c r="A32" s="121">
        <v>28</v>
      </c>
      <c r="B32" s="121">
        <v>782</v>
      </c>
      <c r="C32" s="138" t="s">
        <v>410</v>
      </c>
      <c r="D32" s="214">
        <f>'20-782'!F97</f>
        <v>13621.140000000001</v>
      </c>
      <c r="E32" s="214">
        <f>'20-782'!G97</f>
        <v>14634</v>
      </c>
      <c r="F32" s="214">
        <f t="shared" si="0"/>
        <v>1219.5</v>
      </c>
      <c r="G32" s="214">
        <f>'20-782'!I97</f>
        <v>1656</v>
      </c>
      <c r="H32" s="214">
        <f>'20-782'!J97</f>
        <v>14000.550000000003</v>
      </c>
      <c r="I32" s="322" t="s">
        <v>1208</v>
      </c>
      <c r="Q32" s="133"/>
    </row>
    <row r="33" spans="1:17" ht="61.5" customHeight="1" x14ac:dyDescent="0.2">
      <c r="A33" s="121">
        <v>29</v>
      </c>
      <c r="B33" s="121">
        <v>800</v>
      </c>
      <c r="C33" s="138" t="s">
        <v>412</v>
      </c>
      <c r="D33" s="214">
        <f>'עבודות קבלניות 17'!D51</f>
        <v>35</v>
      </c>
      <c r="E33" s="214">
        <f>'עבודות קבלניות 17'!E51</f>
        <v>35</v>
      </c>
      <c r="F33" s="214">
        <f t="shared" si="0"/>
        <v>2.9166666666666665</v>
      </c>
      <c r="G33" s="214">
        <f>'עבודות קבלניות 17'!G51</f>
        <v>1</v>
      </c>
      <c r="H33" s="214">
        <f>'עבודות קבלניות 17'!H51</f>
        <v>35</v>
      </c>
      <c r="I33" s="322" t="s">
        <v>1216</v>
      </c>
      <c r="Q33" s="133"/>
    </row>
    <row r="34" spans="1:17" ht="34.5" customHeight="1" x14ac:dyDescent="0.2">
      <c r="A34" s="121">
        <v>30</v>
      </c>
      <c r="B34" s="121">
        <v>810</v>
      </c>
      <c r="C34" s="138" t="s">
        <v>413</v>
      </c>
      <c r="D34" s="214">
        <f>'תמיכות 21'!D50</f>
        <v>17584</v>
      </c>
      <c r="E34" s="214">
        <f>'תמיכות 21'!E50</f>
        <v>20116</v>
      </c>
      <c r="F34" s="214">
        <f t="shared" si="0"/>
        <v>1676.3333333333333</v>
      </c>
      <c r="G34" s="214">
        <f>'תמיכות 21'!G50</f>
        <v>1394</v>
      </c>
      <c r="H34" s="214">
        <f>'תמיכות 21'!H50</f>
        <v>18989.3</v>
      </c>
      <c r="I34" s="322" t="s">
        <v>1209</v>
      </c>
      <c r="Q34" s="133"/>
    </row>
    <row r="35" spans="1:17" ht="18" customHeight="1" x14ac:dyDescent="0.2">
      <c r="A35" s="121">
        <v>31</v>
      </c>
      <c r="B35" s="121">
        <v>811</v>
      </c>
      <c r="C35" s="138" t="s">
        <v>414</v>
      </c>
      <c r="D35" s="214">
        <f>' 18 הג"א'!D16</f>
        <v>318</v>
      </c>
      <c r="E35" s="214">
        <f>' 18 הג"א'!E16</f>
        <v>318</v>
      </c>
      <c r="F35" s="214">
        <f t="shared" si="0"/>
        <v>26.5</v>
      </c>
      <c r="G35" s="214">
        <f>' 18 הג"א'!G16</f>
        <v>0</v>
      </c>
      <c r="H35" s="214">
        <f>' 18 הג"א'!H16</f>
        <v>323</v>
      </c>
      <c r="I35" s="320" t="s">
        <v>1210</v>
      </c>
      <c r="Q35" s="133"/>
    </row>
    <row r="36" spans="1:17" ht="24.6" customHeight="1" x14ac:dyDescent="0.2">
      <c r="A36" s="121">
        <v>32</v>
      </c>
      <c r="B36" s="121">
        <v>830</v>
      </c>
      <c r="C36" s="138" t="s">
        <v>1126</v>
      </c>
      <c r="D36" s="215">
        <f>'עבודות קבלניות 17'!D64</f>
        <v>308</v>
      </c>
      <c r="E36" s="215">
        <f>'עבודות קבלניות 17'!E64</f>
        <v>310</v>
      </c>
      <c r="F36" s="214">
        <f t="shared" si="0"/>
        <v>25.833333333333332</v>
      </c>
      <c r="G36" s="215">
        <f>'עבודות קבלניות 17'!G64</f>
        <v>0</v>
      </c>
      <c r="H36" s="215">
        <f>'עבודות קבלניות 17'!H64</f>
        <v>0</v>
      </c>
      <c r="I36" s="322" t="s">
        <v>1216</v>
      </c>
      <c r="Q36" s="133"/>
    </row>
    <row r="37" spans="1:17" ht="22.15" customHeight="1" x14ac:dyDescent="0.2">
      <c r="A37" s="121">
        <v>33</v>
      </c>
      <c r="B37" s="121">
        <v>840</v>
      </c>
      <c r="C37" s="138" t="s">
        <v>415</v>
      </c>
      <c r="D37" s="214">
        <f>' הוצאות רווחה  8'!D111</f>
        <v>51058</v>
      </c>
      <c r="E37" s="214">
        <f>' הוצאות רווחה  8'!E111</f>
        <v>50588</v>
      </c>
      <c r="F37" s="214">
        <f t="shared" si="0"/>
        <v>4215.666666666667</v>
      </c>
      <c r="G37" s="214">
        <f>' הוצאות רווחה  8'!G111</f>
        <v>4452</v>
      </c>
      <c r="H37" s="214">
        <f>' הוצאות רווחה  8'!H111</f>
        <v>50242</v>
      </c>
      <c r="I37" s="139" t="s">
        <v>1191</v>
      </c>
      <c r="Q37" s="133"/>
    </row>
    <row r="38" spans="1:17" ht="34.5" customHeight="1" x14ac:dyDescent="0.2">
      <c r="A38" s="121">
        <v>34</v>
      </c>
      <c r="B38" s="121">
        <v>860</v>
      </c>
      <c r="C38" s="138" t="s">
        <v>593</v>
      </c>
      <c r="D38" s="214">
        <f>(20123/23285)*39425-2000</f>
        <v>32071.25939445995</v>
      </c>
      <c r="E38" s="214">
        <v>32000</v>
      </c>
      <c r="F38" s="214">
        <f t="shared" si="0"/>
        <v>2666.6666666666665</v>
      </c>
      <c r="G38" s="214">
        <v>0</v>
      </c>
      <c r="H38" s="214">
        <f>E38</f>
        <v>32000</v>
      </c>
      <c r="I38" s="139" t="s">
        <v>945</v>
      </c>
      <c r="Q38" s="133"/>
    </row>
    <row r="39" spans="1:17" ht="17.25" customHeight="1" x14ac:dyDescent="0.2">
      <c r="A39" s="121">
        <v>35</v>
      </c>
      <c r="B39" s="121" t="s">
        <v>573</v>
      </c>
      <c r="C39" s="138" t="s">
        <v>478</v>
      </c>
      <c r="D39" s="214">
        <v>841</v>
      </c>
      <c r="E39" s="325">
        <v>0</v>
      </c>
      <c r="F39" s="214">
        <f t="shared" si="0"/>
        <v>0</v>
      </c>
      <c r="G39" s="214">
        <v>0</v>
      </c>
      <c r="H39" s="214">
        <f>E39</f>
        <v>0</v>
      </c>
      <c r="I39" s="139" t="s">
        <v>1211</v>
      </c>
      <c r="Q39" s="133"/>
    </row>
    <row r="40" spans="1:17" ht="17.25" customHeight="1" x14ac:dyDescent="0.2">
      <c r="A40" s="121">
        <v>36</v>
      </c>
      <c r="B40" s="121">
        <v>930</v>
      </c>
      <c r="C40" s="138" t="s">
        <v>969</v>
      </c>
      <c r="D40" s="214">
        <f>' 18 הג"א'!D34</f>
        <v>60</v>
      </c>
      <c r="E40" s="214">
        <f>' 18 הג"א'!E34</f>
        <v>60</v>
      </c>
      <c r="F40" s="214">
        <f t="shared" si="0"/>
        <v>5</v>
      </c>
      <c r="G40" s="214">
        <f>' 18 הג"א'!G34</f>
        <v>-6</v>
      </c>
      <c r="H40" s="214">
        <f>' 18 הג"א'!H34</f>
        <v>60</v>
      </c>
      <c r="I40" s="320" t="s">
        <v>1210</v>
      </c>
      <c r="Q40" s="133"/>
    </row>
    <row r="41" spans="1:17" ht="17.25" customHeight="1" x14ac:dyDescent="0.2">
      <c r="A41" s="121">
        <v>37</v>
      </c>
      <c r="B41" s="121">
        <v>960</v>
      </c>
      <c r="C41" s="138" t="s">
        <v>417</v>
      </c>
      <c r="D41" s="214">
        <v>100</v>
      </c>
      <c r="E41" s="214">
        <v>100</v>
      </c>
      <c r="F41" s="214">
        <f t="shared" si="0"/>
        <v>8.3333333333333339</v>
      </c>
      <c r="G41" s="214">
        <v>0</v>
      </c>
      <c r="H41" s="214">
        <f>'עבודות קבלניות 17'!H70</f>
        <v>100</v>
      </c>
      <c r="I41" s="322" t="s">
        <v>1216</v>
      </c>
      <c r="Q41" s="133"/>
    </row>
    <row r="42" spans="1:17" ht="30" x14ac:dyDescent="0.2">
      <c r="A42" s="121">
        <v>38</v>
      </c>
      <c r="B42" s="121">
        <v>960</v>
      </c>
      <c r="C42" s="138" t="s">
        <v>418</v>
      </c>
      <c r="D42" s="214">
        <v>0</v>
      </c>
      <c r="E42" s="214">
        <v>100</v>
      </c>
      <c r="F42" s="214">
        <f t="shared" si="0"/>
        <v>8.3333333333333339</v>
      </c>
      <c r="G42" s="214">
        <v>0</v>
      </c>
      <c r="H42" s="214">
        <f>'עבודות קבלניות 17'!H71</f>
        <v>100</v>
      </c>
      <c r="I42" s="322" t="s">
        <v>1216</v>
      </c>
      <c r="Q42" s="133"/>
    </row>
    <row r="43" spans="1:17" ht="30" x14ac:dyDescent="0.2">
      <c r="A43" s="121">
        <v>39</v>
      </c>
      <c r="B43" s="121">
        <v>970</v>
      </c>
      <c r="C43" s="138" t="s">
        <v>845</v>
      </c>
      <c r="D43" s="214">
        <v>20</v>
      </c>
      <c r="E43" s="214">
        <v>20</v>
      </c>
      <c r="F43" s="214">
        <f t="shared" si="0"/>
        <v>1.6666666666666667</v>
      </c>
      <c r="G43" s="214">
        <v>5</v>
      </c>
      <c r="H43" s="214">
        <f>'עבודות קבלניות 17'!H78</f>
        <v>20</v>
      </c>
      <c r="I43" s="322" t="s">
        <v>1216</v>
      </c>
      <c r="Q43" s="133"/>
    </row>
    <row r="44" spans="1:17" ht="19.5" customHeight="1" x14ac:dyDescent="0.2">
      <c r="A44" s="121">
        <v>40</v>
      </c>
      <c r="B44" s="121">
        <v>980</v>
      </c>
      <c r="C44" s="138" t="s">
        <v>416</v>
      </c>
      <c r="D44" s="214">
        <v>440</v>
      </c>
      <c r="E44" s="214">
        <v>100</v>
      </c>
      <c r="F44" s="214">
        <f t="shared" si="0"/>
        <v>8.3333333333333339</v>
      </c>
      <c r="G44" s="214">
        <v>301</v>
      </c>
      <c r="H44" s="214">
        <f>'עבודות קבלניות 17'!H85</f>
        <v>350</v>
      </c>
      <c r="I44" s="322" t="s">
        <v>1216</v>
      </c>
      <c r="Q44" s="133"/>
    </row>
    <row r="45" spans="1:17" ht="23.25" x14ac:dyDescent="0.2">
      <c r="A45" s="141"/>
      <c r="B45" s="415" t="s">
        <v>419</v>
      </c>
      <c r="C45" s="415"/>
      <c r="D45" s="142">
        <f>SUM(D5:D44)</f>
        <v>371443.80497445993</v>
      </c>
      <c r="E45" s="142">
        <f>SUM(E5:E44)</f>
        <v>377600.05666370003</v>
      </c>
      <c r="F45" s="142">
        <f>SUM(F5:F44)</f>
        <v>31466.671388641666</v>
      </c>
      <c r="G45" s="142">
        <f>SUM(G5:G44)</f>
        <v>31859</v>
      </c>
      <c r="H45" s="142">
        <f>SUM(H5:H44)</f>
        <v>382275.23066370003</v>
      </c>
      <c r="I45" s="143"/>
      <c r="Q45" s="133"/>
    </row>
    <row r="47" spans="1:17" ht="15" x14ac:dyDescent="0.2">
      <c r="C47" s="145"/>
    </row>
    <row r="48" spans="1:17" x14ac:dyDescent="0.2">
      <c r="C48" s="148"/>
    </row>
    <row r="59" ht="1.5" customHeight="1" x14ac:dyDescent="0.2"/>
    <row r="60" hidden="1" x14ac:dyDescent="0.2"/>
    <row r="61" hidden="1" x14ac:dyDescent="0.2"/>
    <row r="62" ht="11.25" hidden="1" customHeight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</sheetData>
  <mergeCells count="2">
    <mergeCell ref="B45:C45"/>
    <mergeCell ref="A2:J2"/>
  </mergeCells>
  <phoneticPr fontId="31" type="noConversion"/>
  <hyperlinks>
    <hyperlink ref="I10" location="'חשמל ומים 11'!A1" display="ראה עמוד-12" xr:uid="{00000000-0004-0000-0300-000002000000}"/>
    <hyperlink ref="I7" location="'שכד ביטוחים עיתונים ומשלחות 7  '!A1" display="ראה עמוד-12" xr:uid="{00000000-0004-0000-0300-000003000000}"/>
    <hyperlink ref="I14" location="'שכד ביטוחים עיתונים ומשלחות 7  '!A1" display="ראה עמוד-12" xr:uid="{00000000-0004-0000-0300-00000D000000}"/>
    <hyperlink ref="I15" location="'שכד ביטוחים עיתונים ומשלחות 7  '!A1" display="ראה עמוד-12" xr:uid="{00000000-0004-0000-0300-00000E000000}"/>
    <hyperlink ref="I12" location="'ציוד משרדי וכיבוד 10'!A1" display="ראה עמוד-11" xr:uid="{00000000-0004-0000-0300-000016000000}"/>
    <hyperlink ref="I37" location="' הוצאות רווחה  8'!WPrint_Area_W" display="ראה עמוד-13 " xr:uid="{00000000-0004-0000-0300-00001C000000}"/>
    <hyperlink ref="I39" location="'סעיפי קורונה 10'!A1" display="ראה עמוד -17" xr:uid="{00000000-0004-0000-0300-00001D000000}"/>
    <hyperlink ref="I38" location="'הכנסות 1'!A1" display="ראה עמוד-1" xr:uid="{00000000-0004-0000-0300-00001E000000}"/>
    <hyperlink ref="I5" location="'הוצאות שכר 6'!A1" display="'הוצאות שכר 6'!A1" xr:uid="{4835C51A-96C1-4C22-83D8-70855ABA2368}"/>
    <hyperlink ref="I6" location="'הוצאות שכר 6'!A1" display="'הוצאות שכר 6'!A1" xr:uid="{FDC9E149-4207-43C9-849B-EFCB88012B3C}"/>
    <hyperlink ref="I8" location="' 18 הג&quot;א'!A1" display="ראה עמוד 18" xr:uid="{68A83392-7638-4303-8E6D-58DE57EAD88F}"/>
    <hyperlink ref="I9" location="'תיקונים ורישוי 13'!A1" display="ראה עמוד 14" xr:uid="{3EBC3D45-DF0E-4674-9B63-B73C87CE0509}"/>
    <hyperlink ref="I11" location="'שכד ביטוחים עיתונים ומשלחות 7  '!A1" display="'שכד ביטוחים עיתונים ומשלחות 7  '!A1" xr:uid="{B4294369-080D-4B29-BE4E-D0AF226F2993}"/>
    <hyperlink ref="I13" location="'ציוד משרדי וכיבוד 10'!A1" display="ראה עמוד-11" xr:uid="{22CED452-7E9A-427D-9DB4-ED8D03DB5DD3}"/>
    <hyperlink ref="I16" location="'דלק ורכבים 12'!A1" display="'דלק ורכבים 12'!A1" xr:uid="{BB1525DC-A6DE-46AA-A134-286286165C76}"/>
    <hyperlink ref="I17" location="'דלק ורכבים 12'!A1" display="'דלק ורכבים 12'!A1" xr:uid="{7B74DFCE-AB49-4CE1-9560-3665B9175C9E}"/>
    <hyperlink ref="I18" location="'תיקונים ורישוי 13'!A1" display="'תיקונים ורישוי 13'!A1" xr:uid="{4869276D-CD68-4D0A-AE88-18FAB3803CFC}"/>
    <hyperlink ref="I19" location="'תיקונים ורישוי 13'!A1" display="'תיקונים ורישוי 13'!A1" xr:uid="{B7066910-EC4D-4C0A-8F8E-3CED5CD3A310}"/>
    <hyperlink ref="I20" location="'ליסינג 14'!A1" display="'ליסינג 14'!A1" xr:uid="{4FAE5DBC-308C-4DB4-9C88-24DE3C55E4A9}"/>
    <hyperlink ref="I21" location="'תקשורת פרסום ומחשוב 15'!A1" display="'תקשורת פרסום ומחשוב 15'!A1" xr:uid="{29A25E90-036B-4D21-AEB0-6CBD35F1BC36}"/>
    <hyperlink ref="I22" location="'תקשורת פרסום ומחשוב 15'!A1" display="'תקשורת פרסום ומחשוב 15'!A1" xr:uid="{F2493A97-C3AC-438C-9655-2A1FDAF9E5CA}"/>
    <hyperlink ref="I23" location="'תקשורת פרסום ומחשוב 15'!A1" display="'תקשורת פרסום ומחשוב 15'!A1" xr:uid="{66E57EE7-7952-4A4C-9626-FD8F73068479}"/>
    <hyperlink ref="I26" location="'עבודות קבלניות 17'!A1" display="'עבודות קבלניות 17'!A1" xr:uid="{4AF88D26-CBFC-4890-AFF7-2B8FB8860E96}"/>
    <hyperlink ref="I28" location="'עבודות קבלניות 17'!A1" display="'עבודות קבלניות 17'!A1" xr:uid="{DDB08741-7251-436B-9B4B-A32798670651}"/>
    <hyperlink ref="I29" location="'עבודות קבלניות 17'!A1" display="'עבודות קבלניות 17'!A1" xr:uid="{A78595EE-1449-44C7-A3AB-CA6D4A813673}"/>
    <hyperlink ref="I33" location="'עבודות קבלניות 17'!A1" display="'עבודות קבלניות 17'!A1" xr:uid="{A722472F-3169-46F7-8353-36E75506DAA1}"/>
    <hyperlink ref="I36" location="'עבודות קבלניות 17'!A1" display="'עבודות קבלניות 17'!A1" xr:uid="{E14B0411-4592-459D-9393-1AB948B0E9E2}"/>
    <hyperlink ref="I41" location="'עבודות קבלניות 17'!A1" display="'עבודות קבלניות 17'!A1" xr:uid="{1DAD89F9-B2CF-48F8-A7B6-7E70327A1C71}"/>
    <hyperlink ref="I42" location="'עבודות קבלניות 17'!A1" display="'עבודות קבלניות 17'!A1" xr:uid="{BFED5DA2-289C-48EC-B12B-69D8A518D5D1}"/>
    <hyperlink ref="I43" location="'עבודות קבלניות 17'!A1" display="'עבודות קבלניות 17'!A1" xr:uid="{BCC90358-D36C-4256-9D3F-62A41BCE2339}"/>
    <hyperlink ref="I44" location="'עבודות קבלניות 17'!A1" display="'עבודות קבלניות 17'!A1" xr:uid="{876B3F1E-6724-42AE-B9DD-E1C498D8F77D}"/>
    <hyperlink ref="I27" location="'חשמל ומים 11'!A1" display="ראה עמוד-12" xr:uid="{0F8888C3-0943-4AFC-9C5C-630A7F7F5361}"/>
    <hyperlink ref="I30" location="'19-780'!A1" display="'19-780'!A1" xr:uid="{A4F7165F-8BC7-42F6-9DE4-F2427154CF2D}"/>
    <hyperlink ref="I31" location="'19-780'!A1" display="'19-780'!A1" xr:uid="{455C8B7C-2571-4EB6-8872-A784C871964E}"/>
    <hyperlink ref="I32" location="'20-782'!A1" display="'20-782'!A1" xr:uid="{9A473815-3ACF-415C-B0C6-6131275632D5}"/>
    <hyperlink ref="I34" location="'תמיכות 21'!A1" display="'תמיכות 21'!A1" xr:uid="{D638BE94-0ACD-4ABA-93F8-49BB2D56D827}"/>
    <hyperlink ref="I35" location="' 18 הג&quot;א'!A1" display="ראה עמוד 18" xr:uid="{1DD7C0A4-83EC-4E94-89BE-5F9F4AADA82F}"/>
    <hyperlink ref="I40" location="' 18 הג&quot;א'!A1" display="ראה עמוד 18" xr:uid="{E051D20F-892C-449C-987D-105B564CF5C8}"/>
  </hyperlinks>
  <pageMargins left="0.70866141732283472" right="0.70866141732283472" top="0.31496062992125984" bottom="0.27559055118110237" header="0.31496062992125984" footer="0.31496062992125984"/>
  <pageSetup paperSize="9" scale="71" firstPageNumber="2" orientation="portrait" useFirstPageNumber="1" r:id="rId1"/>
  <headerFooter>
    <oddFooter>עמוד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6">
    <pageSetUpPr fitToPage="1"/>
  </sheetPr>
  <dimension ref="A1:O67"/>
  <sheetViews>
    <sheetView rightToLeft="1" topLeftCell="A3" zoomScaleNormal="100" zoomScaleSheetLayoutView="66" workbookViewId="0">
      <selection activeCell="C23" sqref="A3:H50"/>
    </sheetView>
  </sheetViews>
  <sheetFormatPr defaultRowHeight="14.25" x14ac:dyDescent="0.2"/>
  <cols>
    <col min="1" max="1" width="3.375" customWidth="1"/>
    <col min="2" max="2" width="14.5" customWidth="1"/>
    <col min="3" max="3" width="28.5" customWidth="1"/>
    <col min="4" max="4" width="13.125" customWidth="1"/>
    <col min="5" max="5" width="16.75" customWidth="1"/>
    <col min="6" max="6" width="11.375" bestFit="1" customWidth="1"/>
    <col min="7" max="7" width="13.25" customWidth="1"/>
    <col min="8" max="8" width="14.625" customWidth="1"/>
    <col min="9" max="9" width="9.5" customWidth="1"/>
    <col min="10" max="10" width="16.75" customWidth="1"/>
    <col min="12" max="12" width="23.625" bestFit="1" customWidth="1"/>
    <col min="13" max="15" width="12.125" bestFit="1" customWidth="1"/>
  </cols>
  <sheetData>
    <row r="1" spans="1:10" ht="23.25" x14ac:dyDescent="0.35">
      <c r="A1" s="418" t="s">
        <v>420</v>
      </c>
      <c r="B1" s="418"/>
      <c r="C1" s="418"/>
      <c r="D1" s="418"/>
      <c r="E1" s="418"/>
      <c r="F1" s="418"/>
      <c r="G1" s="418"/>
      <c r="H1" s="418"/>
      <c r="I1" s="272"/>
      <c r="J1" s="272"/>
    </row>
    <row r="2" spans="1:10" ht="13.9" customHeight="1" x14ac:dyDescent="0.2"/>
    <row r="3" spans="1:10" s="124" customFormat="1" ht="47.1" customHeight="1" x14ac:dyDescent="0.2">
      <c r="A3" s="328" t="s">
        <v>596</v>
      </c>
      <c r="B3" s="328" t="s">
        <v>0</v>
      </c>
      <c r="C3" s="328" t="s">
        <v>1</v>
      </c>
      <c r="D3" s="330" t="s">
        <v>1159</v>
      </c>
      <c r="E3" s="330" t="s">
        <v>1156</v>
      </c>
      <c r="F3" s="331" t="s">
        <v>1160</v>
      </c>
      <c r="G3" s="331" t="s">
        <v>1161</v>
      </c>
      <c r="H3" s="331" t="s">
        <v>1162</v>
      </c>
    </row>
    <row r="4" spans="1:10" s="92" customFormat="1" ht="13.5" customHeight="1" x14ac:dyDescent="0.2">
      <c r="A4" s="242">
        <v>1</v>
      </c>
      <c r="B4" s="242">
        <v>1311800920</v>
      </c>
      <c r="C4" s="242" t="s">
        <v>1195</v>
      </c>
      <c r="D4" s="291">
        <v>0</v>
      </c>
      <c r="E4" s="291">
        <v>0</v>
      </c>
      <c r="F4" s="290">
        <v>0</v>
      </c>
      <c r="G4" s="290">
        <v>0</v>
      </c>
      <c r="H4" s="290">
        <v>400</v>
      </c>
      <c r="I4" s="93"/>
    </row>
    <row r="5" spans="1:10" s="92" customFormat="1" ht="13.5" customHeight="1" x14ac:dyDescent="0.2">
      <c r="A5" s="242">
        <v>2</v>
      </c>
      <c r="B5" s="242">
        <v>1312200920</v>
      </c>
      <c r="C5" s="242" t="s">
        <v>985</v>
      </c>
      <c r="D5" s="291">
        <v>4000</v>
      </c>
      <c r="E5" s="291">
        <v>4000</v>
      </c>
      <c r="F5" s="290">
        <f>E5/12</f>
        <v>333.33333333333331</v>
      </c>
      <c r="G5" s="290">
        <v>294</v>
      </c>
      <c r="H5" s="290">
        <f>E5</f>
        <v>4000</v>
      </c>
      <c r="I5" s="93"/>
    </row>
    <row r="6" spans="1:10" s="92" customFormat="1" ht="13.5" customHeight="1" x14ac:dyDescent="0.2">
      <c r="A6" s="242">
        <v>3</v>
      </c>
      <c r="B6" s="242">
        <v>1312200923</v>
      </c>
      <c r="C6" s="242" t="s">
        <v>702</v>
      </c>
      <c r="D6" s="291">
        <v>360</v>
      </c>
      <c r="E6" s="291">
        <v>360</v>
      </c>
      <c r="F6" s="290">
        <f t="shared" ref="F6:F49" si="0">E6/12</f>
        <v>30</v>
      </c>
      <c r="G6" s="290">
        <v>27</v>
      </c>
      <c r="H6" s="290">
        <f t="shared" ref="H6:H7" si="1">E6</f>
        <v>360</v>
      </c>
      <c r="I6" s="93"/>
    </row>
    <row r="7" spans="1:10" s="92" customFormat="1" ht="13.5" customHeight="1" x14ac:dyDescent="0.2">
      <c r="A7" s="242">
        <v>4</v>
      </c>
      <c r="B7" s="242">
        <v>1312210920</v>
      </c>
      <c r="C7" s="242" t="s">
        <v>847</v>
      </c>
      <c r="D7" s="291">
        <v>1400</v>
      </c>
      <c r="E7" s="291">
        <v>1400</v>
      </c>
      <c r="F7" s="290">
        <f t="shared" si="0"/>
        <v>116.66666666666667</v>
      </c>
      <c r="G7" s="290">
        <v>119</v>
      </c>
      <c r="H7" s="290">
        <f t="shared" si="1"/>
        <v>1400</v>
      </c>
      <c r="I7" s="93"/>
    </row>
    <row r="8" spans="1:10" s="92" customFormat="1" ht="13.5" customHeight="1" x14ac:dyDescent="0.2">
      <c r="A8" s="242">
        <v>5</v>
      </c>
      <c r="B8" s="242">
        <v>1312211920</v>
      </c>
      <c r="C8" s="242" t="s">
        <v>1009</v>
      </c>
      <c r="D8" s="291">
        <v>1200</v>
      </c>
      <c r="E8" s="291">
        <v>1200</v>
      </c>
      <c r="F8" s="290">
        <f t="shared" si="0"/>
        <v>100</v>
      </c>
      <c r="G8" s="290">
        <v>151</v>
      </c>
      <c r="H8" s="290">
        <v>1300</v>
      </c>
      <c r="I8" s="93"/>
    </row>
    <row r="9" spans="1:10" s="92" customFormat="1" ht="13.5" customHeight="1" x14ac:dyDescent="0.2">
      <c r="A9" s="242">
        <v>6</v>
      </c>
      <c r="B9" s="242">
        <v>1312300920</v>
      </c>
      <c r="C9" s="242" t="s">
        <v>986</v>
      </c>
      <c r="D9" s="291">
        <v>10100</v>
      </c>
      <c r="E9" s="291">
        <v>10100</v>
      </c>
      <c r="F9" s="290">
        <f t="shared" si="0"/>
        <v>841.66666666666663</v>
      </c>
      <c r="G9" s="290">
        <v>767</v>
      </c>
      <c r="H9" s="290">
        <f>E9</f>
        <v>10100</v>
      </c>
    </row>
    <row r="10" spans="1:10" s="92" customFormat="1" ht="13.5" customHeight="1" x14ac:dyDescent="0.2">
      <c r="A10" s="242">
        <v>7</v>
      </c>
      <c r="B10" s="242">
        <v>1312500920</v>
      </c>
      <c r="C10" s="243" t="s">
        <v>1025</v>
      </c>
      <c r="D10" s="291">
        <v>150</v>
      </c>
      <c r="E10" s="291">
        <v>150</v>
      </c>
      <c r="F10" s="290">
        <f t="shared" si="0"/>
        <v>12.5</v>
      </c>
      <c r="G10" s="290">
        <v>0</v>
      </c>
      <c r="H10" s="290">
        <v>200</v>
      </c>
    </row>
    <row r="11" spans="1:10" s="92" customFormat="1" ht="13.5" customHeight="1" x14ac:dyDescent="0.2">
      <c r="A11" s="242">
        <v>8</v>
      </c>
      <c r="B11" s="242">
        <v>1312600921</v>
      </c>
      <c r="C11" s="242" t="s">
        <v>848</v>
      </c>
      <c r="D11" s="309">
        <v>110</v>
      </c>
      <c r="E11" s="310">
        <v>110</v>
      </c>
      <c r="F11" s="290">
        <f t="shared" si="0"/>
        <v>9.1666666666666661</v>
      </c>
      <c r="G11" s="290">
        <v>0</v>
      </c>
      <c r="H11" s="290">
        <f>E11</f>
        <v>110</v>
      </c>
      <c r="I11" s="93"/>
    </row>
    <row r="12" spans="1:10" s="195" customFormat="1" ht="26.1" customHeight="1" x14ac:dyDescent="0.2">
      <c r="A12" s="244">
        <v>9</v>
      </c>
      <c r="B12" s="244">
        <v>1313200920</v>
      </c>
      <c r="C12" s="245" t="s">
        <v>987</v>
      </c>
      <c r="D12" s="311">
        <v>2800</v>
      </c>
      <c r="E12" s="311">
        <v>2800</v>
      </c>
      <c r="F12" s="291">
        <f t="shared" si="0"/>
        <v>233.33333333333334</v>
      </c>
      <c r="G12" s="291">
        <v>241</v>
      </c>
      <c r="H12" s="307">
        <f>E12</f>
        <v>2800</v>
      </c>
      <c r="I12" s="196"/>
    </row>
    <row r="13" spans="1:10" s="92" customFormat="1" ht="13.5" customHeight="1" x14ac:dyDescent="0.2">
      <c r="A13" s="242">
        <v>10</v>
      </c>
      <c r="B13" s="242">
        <v>1313200921</v>
      </c>
      <c r="C13" s="242" t="s">
        <v>1185</v>
      </c>
      <c r="D13" s="309">
        <v>2700</v>
      </c>
      <c r="E13" s="311">
        <v>430</v>
      </c>
      <c r="F13" s="290">
        <f t="shared" si="0"/>
        <v>35.833333333333336</v>
      </c>
      <c r="G13" s="290">
        <v>372</v>
      </c>
      <c r="H13" s="290">
        <v>650</v>
      </c>
      <c r="I13" s="93"/>
    </row>
    <row r="14" spans="1:10" s="92" customFormat="1" ht="13.5" customHeight="1" x14ac:dyDescent="0.2">
      <c r="A14" s="242">
        <v>11</v>
      </c>
      <c r="B14" s="242">
        <v>1313200922</v>
      </c>
      <c r="C14" s="242" t="s">
        <v>701</v>
      </c>
      <c r="D14" s="309">
        <v>0</v>
      </c>
      <c r="E14" s="309">
        <v>50</v>
      </c>
      <c r="F14" s="290">
        <f t="shared" si="0"/>
        <v>4.166666666666667</v>
      </c>
      <c r="G14" s="290">
        <v>0</v>
      </c>
      <c r="H14" s="290">
        <f>E14</f>
        <v>50</v>
      </c>
      <c r="I14" s="93"/>
    </row>
    <row r="15" spans="1:10" s="92" customFormat="1" ht="13.5" customHeight="1" x14ac:dyDescent="0.2">
      <c r="A15" s="242">
        <v>12</v>
      </c>
      <c r="B15" s="242">
        <v>1313200924</v>
      </c>
      <c r="C15" s="242" t="s">
        <v>849</v>
      </c>
      <c r="D15" s="309">
        <v>650</v>
      </c>
      <c r="E15" s="309">
        <v>650</v>
      </c>
      <c r="F15" s="290">
        <f t="shared" si="0"/>
        <v>54.166666666666664</v>
      </c>
      <c r="G15" s="290">
        <v>89</v>
      </c>
      <c r="H15" s="290">
        <f t="shared" ref="H15" si="2">E15</f>
        <v>650</v>
      </c>
      <c r="I15" s="93"/>
    </row>
    <row r="16" spans="1:10" s="92" customFormat="1" ht="13.5" customHeight="1" x14ac:dyDescent="0.2">
      <c r="A16" s="242">
        <v>13</v>
      </c>
      <c r="B16" s="242">
        <v>1313200925</v>
      </c>
      <c r="C16" s="242" t="s">
        <v>1014</v>
      </c>
      <c r="D16" s="309">
        <v>550</v>
      </c>
      <c r="E16" s="309">
        <v>550</v>
      </c>
      <c r="F16" s="290">
        <f t="shared" si="0"/>
        <v>45.833333333333336</v>
      </c>
      <c r="G16" s="290">
        <v>55</v>
      </c>
      <c r="H16" s="290">
        <v>620</v>
      </c>
      <c r="I16" s="93"/>
    </row>
    <row r="17" spans="1:9" s="92" customFormat="1" ht="13.5" customHeight="1" x14ac:dyDescent="0.2">
      <c r="A17" s="242">
        <v>14</v>
      </c>
      <c r="B17" s="242">
        <v>1313200926</v>
      </c>
      <c r="C17" s="242" t="s">
        <v>1015</v>
      </c>
      <c r="D17" s="309">
        <v>3400</v>
      </c>
      <c r="E17" s="309">
        <v>3400</v>
      </c>
      <c r="F17" s="290">
        <f t="shared" si="0"/>
        <v>283.33333333333331</v>
      </c>
      <c r="G17" s="290">
        <v>317</v>
      </c>
      <c r="H17" s="290">
        <v>3950</v>
      </c>
      <c r="I17" s="93"/>
    </row>
    <row r="18" spans="1:9" s="92" customFormat="1" ht="13.5" customHeight="1" x14ac:dyDescent="0.2">
      <c r="A18" s="242">
        <v>15</v>
      </c>
      <c r="B18" s="242">
        <v>1313200927</v>
      </c>
      <c r="C18" s="242" t="s">
        <v>1016</v>
      </c>
      <c r="D18" s="309">
        <v>2100</v>
      </c>
      <c r="E18" s="309">
        <v>2100</v>
      </c>
      <c r="F18" s="290">
        <f t="shared" si="0"/>
        <v>175</v>
      </c>
      <c r="G18" s="290">
        <v>239</v>
      </c>
      <c r="H18" s="290">
        <v>2300</v>
      </c>
      <c r="I18" s="93"/>
    </row>
    <row r="19" spans="1:9" s="92" customFormat="1" ht="13.5" customHeight="1" x14ac:dyDescent="0.2">
      <c r="A19" s="242">
        <v>16</v>
      </c>
      <c r="B19" s="242">
        <v>1313210920</v>
      </c>
      <c r="C19" s="242" t="s">
        <v>703</v>
      </c>
      <c r="D19" s="309">
        <v>12</v>
      </c>
      <c r="E19" s="309">
        <v>12</v>
      </c>
      <c r="F19" s="290">
        <f t="shared" si="0"/>
        <v>1</v>
      </c>
      <c r="G19" s="290">
        <v>-1</v>
      </c>
      <c r="H19" s="290">
        <f>E19</f>
        <v>12</v>
      </c>
      <c r="I19" s="93"/>
    </row>
    <row r="20" spans="1:9" s="92" customFormat="1" ht="13.5" customHeight="1" x14ac:dyDescent="0.2">
      <c r="A20" s="242">
        <v>17</v>
      </c>
      <c r="B20" s="242">
        <v>1313214920</v>
      </c>
      <c r="C20" s="242" t="s">
        <v>36</v>
      </c>
      <c r="D20" s="311">
        <v>400</v>
      </c>
      <c r="E20" s="311">
        <v>400</v>
      </c>
      <c r="F20" s="290">
        <f t="shared" si="0"/>
        <v>33.333333333333336</v>
      </c>
      <c r="G20" s="290">
        <v>47</v>
      </c>
      <c r="H20" s="290">
        <v>450</v>
      </c>
      <c r="I20" s="93"/>
    </row>
    <row r="21" spans="1:9" s="92" customFormat="1" ht="13.5" customHeight="1" x14ac:dyDescent="0.2">
      <c r="A21" s="242">
        <v>18</v>
      </c>
      <c r="B21" s="242">
        <v>1313215920</v>
      </c>
      <c r="C21" s="242" t="s">
        <v>1184</v>
      </c>
      <c r="D21" s="311">
        <v>100</v>
      </c>
      <c r="E21" s="311">
        <v>150</v>
      </c>
      <c r="F21" s="290">
        <f t="shared" si="0"/>
        <v>12.5</v>
      </c>
      <c r="G21" s="290">
        <v>0</v>
      </c>
      <c r="H21" s="290">
        <v>200</v>
      </c>
      <c r="I21" s="93"/>
    </row>
    <row r="22" spans="1:9" s="92" customFormat="1" ht="13.5" customHeight="1" x14ac:dyDescent="0.2">
      <c r="A22" s="242">
        <v>19</v>
      </c>
      <c r="B22" s="242">
        <v>1313220920</v>
      </c>
      <c r="C22" s="242" t="s">
        <v>704</v>
      </c>
      <c r="D22" s="311">
        <v>2127</v>
      </c>
      <c r="E22" s="311">
        <v>2130</v>
      </c>
      <c r="F22" s="290">
        <f t="shared" si="0"/>
        <v>177.5</v>
      </c>
      <c r="G22" s="290">
        <v>245</v>
      </c>
      <c r="H22" s="290">
        <v>2300</v>
      </c>
      <c r="I22" s="93"/>
    </row>
    <row r="23" spans="1:9" s="92" customFormat="1" ht="13.5" customHeight="1" x14ac:dyDescent="0.2">
      <c r="A23" s="242">
        <v>20</v>
      </c>
      <c r="B23" s="242">
        <v>1313220922</v>
      </c>
      <c r="C23" s="243" t="s">
        <v>1026</v>
      </c>
      <c r="D23" s="311">
        <v>120</v>
      </c>
      <c r="E23" s="311">
        <v>120</v>
      </c>
      <c r="F23" s="290">
        <f t="shared" si="0"/>
        <v>10</v>
      </c>
      <c r="G23" s="290">
        <v>5</v>
      </c>
      <c r="H23" s="290">
        <f t="shared" ref="H23:H49" si="3">E23</f>
        <v>120</v>
      </c>
      <c r="I23" s="93"/>
    </row>
    <row r="24" spans="1:9" s="92" customFormat="1" ht="13.5" customHeight="1" x14ac:dyDescent="0.2">
      <c r="A24" s="242">
        <v>21</v>
      </c>
      <c r="B24" s="242">
        <v>1313230920</v>
      </c>
      <c r="C24" s="242" t="s">
        <v>37</v>
      </c>
      <c r="D24" s="311">
        <v>60</v>
      </c>
      <c r="E24" s="311">
        <v>60</v>
      </c>
      <c r="F24" s="290">
        <f t="shared" si="0"/>
        <v>5</v>
      </c>
      <c r="G24" s="290">
        <v>0</v>
      </c>
      <c r="H24" s="290">
        <f t="shared" si="3"/>
        <v>60</v>
      </c>
    </row>
    <row r="25" spans="1:9" s="92" customFormat="1" ht="13.5" customHeight="1" x14ac:dyDescent="0.2">
      <c r="A25" s="242">
        <v>22</v>
      </c>
      <c r="B25" s="242">
        <v>1313230922</v>
      </c>
      <c r="C25" s="242" t="s">
        <v>1010</v>
      </c>
      <c r="D25" s="311">
        <v>460</v>
      </c>
      <c r="E25" s="311">
        <v>0</v>
      </c>
      <c r="F25" s="290">
        <f t="shared" si="0"/>
        <v>0</v>
      </c>
      <c r="G25" s="290">
        <v>0</v>
      </c>
      <c r="H25" s="290">
        <f t="shared" si="3"/>
        <v>0</v>
      </c>
    </row>
    <row r="26" spans="1:9" s="92" customFormat="1" ht="13.5" customHeight="1" x14ac:dyDescent="0.2">
      <c r="A26" s="242">
        <v>23</v>
      </c>
      <c r="B26" s="242">
        <v>1313240920</v>
      </c>
      <c r="C26" s="242" t="s">
        <v>1106</v>
      </c>
      <c r="D26" s="291">
        <v>290</v>
      </c>
      <c r="E26" s="291">
        <v>290</v>
      </c>
      <c r="F26" s="290">
        <f t="shared" si="0"/>
        <v>24.166666666666668</v>
      </c>
      <c r="G26" s="290">
        <v>29</v>
      </c>
      <c r="H26" s="290">
        <f t="shared" si="3"/>
        <v>290</v>
      </c>
      <c r="I26" s="93"/>
    </row>
    <row r="27" spans="1:9" s="92" customFormat="1" ht="13.5" customHeight="1" x14ac:dyDescent="0.2">
      <c r="A27" s="242">
        <v>24</v>
      </c>
      <c r="B27" s="242">
        <v>1313250920</v>
      </c>
      <c r="C27" s="242" t="s">
        <v>38</v>
      </c>
      <c r="D27" s="311">
        <v>580</v>
      </c>
      <c r="E27" s="311">
        <v>0</v>
      </c>
      <c r="F27" s="290">
        <f t="shared" si="0"/>
        <v>0</v>
      </c>
      <c r="G27" s="290">
        <v>0</v>
      </c>
      <c r="H27" s="290">
        <f t="shared" si="3"/>
        <v>0</v>
      </c>
      <c r="I27" s="93"/>
    </row>
    <row r="28" spans="1:9" s="92" customFormat="1" ht="13.5" customHeight="1" x14ac:dyDescent="0.2">
      <c r="A28" s="242">
        <v>25</v>
      </c>
      <c r="B28" s="242">
        <v>1313260920</v>
      </c>
      <c r="C28" s="242" t="s">
        <v>39</v>
      </c>
      <c r="D28" s="311">
        <v>140</v>
      </c>
      <c r="E28" s="311">
        <v>40</v>
      </c>
      <c r="F28" s="290">
        <f t="shared" si="0"/>
        <v>3.3333333333333335</v>
      </c>
      <c r="G28" s="290">
        <v>0</v>
      </c>
      <c r="H28" s="290">
        <v>60</v>
      </c>
      <c r="I28" s="93"/>
    </row>
    <row r="29" spans="1:9" s="92" customFormat="1" ht="13.5" customHeight="1" x14ac:dyDescent="0.2">
      <c r="A29" s="242">
        <v>26</v>
      </c>
      <c r="B29" s="242">
        <v>1313270920</v>
      </c>
      <c r="C29" s="242" t="s">
        <v>40</v>
      </c>
      <c r="D29" s="311">
        <v>280</v>
      </c>
      <c r="E29" s="311">
        <v>280</v>
      </c>
      <c r="F29" s="290">
        <f t="shared" si="0"/>
        <v>23.333333333333332</v>
      </c>
      <c r="G29" s="290">
        <v>24</v>
      </c>
      <c r="H29" s="290">
        <f t="shared" si="3"/>
        <v>280</v>
      </c>
      <c r="I29" s="93"/>
    </row>
    <row r="30" spans="1:9" s="92" customFormat="1" ht="13.5" customHeight="1" x14ac:dyDescent="0.2">
      <c r="A30" s="242">
        <v>27</v>
      </c>
      <c r="B30" s="189">
        <v>1313291920</v>
      </c>
      <c r="C30" s="243" t="s">
        <v>1027</v>
      </c>
      <c r="D30" s="311">
        <v>1620</v>
      </c>
      <c r="E30" s="311">
        <v>1620</v>
      </c>
      <c r="F30" s="290">
        <f t="shared" si="0"/>
        <v>135</v>
      </c>
      <c r="G30" s="290">
        <v>130</v>
      </c>
      <c r="H30" s="290">
        <f t="shared" si="3"/>
        <v>1620</v>
      </c>
      <c r="I30" s="93"/>
    </row>
    <row r="31" spans="1:9" s="92" customFormat="1" ht="13.5" customHeight="1" x14ac:dyDescent="0.2">
      <c r="A31" s="242">
        <v>28</v>
      </c>
      <c r="B31" s="243">
        <v>1313295920</v>
      </c>
      <c r="C31" s="242" t="s">
        <v>1098</v>
      </c>
      <c r="D31" s="312">
        <v>360</v>
      </c>
      <c r="E31" s="312">
        <v>1104</v>
      </c>
      <c r="F31" s="290">
        <f>E31/12</f>
        <v>92</v>
      </c>
      <c r="G31" s="290">
        <v>740</v>
      </c>
      <c r="H31" s="290">
        <f t="shared" si="3"/>
        <v>1104</v>
      </c>
      <c r="I31" s="93"/>
    </row>
    <row r="32" spans="1:9" s="92" customFormat="1" ht="13.5" customHeight="1" x14ac:dyDescent="0.2">
      <c r="A32" s="242">
        <v>29</v>
      </c>
      <c r="B32" s="242">
        <v>1313300920</v>
      </c>
      <c r="C32" s="242" t="s">
        <v>706</v>
      </c>
      <c r="D32" s="311">
        <v>61</v>
      </c>
      <c r="E32" s="311">
        <v>61</v>
      </c>
      <c r="F32" s="290">
        <f t="shared" si="0"/>
        <v>5.083333333333333</v>
      </c>
      <c r="G32" s="290">
        <v>5</v>
      </c>
      <c r="H32" s="290">
        <f t="shared" si="3"/>
        <v>61</v>
      </c>
      <c r="I32" s="93"/>
    </row>
    <row r="33" spans="1:9" s="92" customFormat="1" ht="13.5" customHeight="1" x14ac:dyDescent="0.2">
      <c r="A33" s="242">
        <v>30</v>
      </c>
      <c r="B33" s="242">
        <v>1313300921</v>
      </c>
      <c r="C33" s="242" t="s">
        <v>707</v>
      </c>
      <c r="D33" s="311">
        <v>123</v>
      </c>
      <c r="E33" s="311">
        <v>123</v>
      </c>
      <c r="F33" s="290">
        <f t="shared" si="0"/>
        <v>10.25</v>
      </c>
      <c r="G33" s="290">
        <v>10</v>
      </c>
      <c r="H33" s="290">
        <f t="shared" si="3"/>
        <v>123</v>
      </c>
      <c r="I33" s="93"/>
    </row>
    <row r="34" spans="1:9" s="92" customFormat="1" ht="13.5" customHeight="1" x14ac:dyDescent="0.2">
      <c r="A34" s="242">
        <v>31</v>
      </c>
      <c r="B34" s="242">
        <v>1313310920</v>
      </c>
      <c r="C34" s="242" t="s">
        <v>709</v>
      </c>
      <c r="D34" s="311">
        <v>109</v>
      </c>
      <c r="E34" s="311">
        <v>110</v>
      </c>
      <c r="F34" s="290">
        <f t="shared" si="0"/>
        <v>9.1666666666666661</v>
      </c>
      <c r="G34" s="290">
        <v>13</v>
      </c>
      <c r="H34" s="290">
        <f t="shared" si="3"/>
        <v>110</v>
      </c>
      <c r="I34" s="93"/>
    </row>
    <row r="35" spans="1:9" s="92" customFormat="1" ht="13.5" customHeight="1" x14ac:dyDescent="0.2">
      <c r="A35" s="242">
        <v>32</v>
      </c>
      <c r="B35" s="242">
        <v>1313320920</v>
      </c>
      <c r="C35" s="242" t="s">
        <v>708</v>
      </c>
      <c r="D35" s="311">
        <v>185</v>
      </c>
      <c r="E35" s="311">
        <v>185</v>
      </c>
      <c r="F35" s="290">
        <f t="shared" si="0"/>
        <v>15.416666666666666</v>
      </c>
      <c r="G35" s="290">
        <v>0</v>
      </c>
      <c r="H35" s="290">
        <f t="shared" si="3"/>
        <v>185</v>
      </c>
      <c r="I35" s="93"/>
    </row>
    <row r="36" spans="1:9" s="92" customFormat="1" ht="13.5" customHeight="1" x14ac:dyDescent="0.2">
      <c r="A36" s="242">
        <v>33</v>
      </c>
      <c r="B36" s="189">
        <v>1313340920</v>
      </c>
      <c r="C36" s="242" t="s">
        <v>1012</v>
      </c>
      <c r="D36" s="311">
        <v>150</v>
      </c>
      <c r="E36" s="311">
        <v>150</v>
      </c>
      <c r="F36" s="290">
        <f t="shared" si="0"/>
        <v>12.5</v>
      </c>
      <c r="G36" s="290">
        <v>23</v>
      </c>
      <c r="H36" s="290">
        <v>170</v>
      </c>
      <c r="I36" s="93"/>
    </row>
    <row r="37" spans="1:9" s="92" customFormat="1" ht="13.5" customHeight="1" x14ac:dyDescent="0.2">
      <c r="A37" s="242">
        <v>34</v>
      </c>
      <c r="B37" s="189">
        <v>1313350920</v>
      </c>
      <c r="C37" s="242" t="s">
        <v>1013</v>
      </c>
      <c r="D37" s="311">
        <v>200</v>
      </c>
      <c r="E37" s="311">
        <v>200</v>
      </c>
      <c r="F37" s="290">
        <f t="shared" si="0"/>
        <v>16.666666666666668</v>
      </c>
      <c r="G37" s="290">
        <v>0</v>
      </c>
      <c r="H37" s="290">
        <f t="shared" si="3"/>
        <v>200</v>
      </c>
      <c r="I37" s="93"/>
    </row>
    <row r="38" spans="1:9" s="92" customFormat="1" ht="13.5" customHeight="1" x14ac:dyDescent="0.2">
      <c r="A38" s="242">
        <v>35</v>
      </c>
      <c r="B38" s="242">
        <v>1313600920</v>
      </c>
      <c r="C38" s="242" t="s">
        <v>710</v>
      </c>
      <c r="D38" s="311">
        <v>330</v>
      </c>
      <c r="E38" s="311">
        <v>330</v>
      </c>
      <c r="F38" s="290">
        <f t="shared" si="0"/>
        <v>27.5</v>
      </c>
      <c r="G38" s="290">
        <v>27</v>
      </c>
      <c r="H38" s="290">
        <f t="shared" si="3"/>
        <v>330</v>
      </c>
      <c r="I38" s="93"/>
    </row>
    <row r="39" spans="1:9" s="92" customFormat="1" ht="13.5" customHeight="1" x14ac:dyDescent="0.2">
      <c r="A39" s="242">
        <v>36</v>
      </c>
      <c r="B39" s="242">
        <v>1313600921</v>
      </c>
      <c r="C39" s="242" t="s">
        <v>711</v>
      </c>
      <c r="D39" s="311">
        <v>118</v>
      </c>
      <c r="E39" s="311">
        <v>118</v>
      </c>
      <c r="F39" s="290">
        <f t="shared" si="0"/>
        <v>9.8333333333333339</v>
      </c>
      <c r="G39" s="290">
        <v>9</v>
      </c>
      <c r="H39" s="290">
        <f t="shared" si="3"/>
        <v>118</v>
      </c>
      <c r="I39" s="93"/>
    </row>
    <row r="40" spans="1:9" s="92" customFormat="1" ht="13.5" customHeight="1" x14ac:dyDescent="0.2">
      <c r="A40" s="242">
        <v>37</v>
      </c>
      <c r="B40" s="242">
        <v>1313700920</v>
      </c>
      <c r="C40" s="242" t="s">
        <v>712</v>
      </c>
      <c r="D40" s="311">
        <v>280</v>
      </c>
      <c r="E40" s="311">
        <v>280</v>
      </c>
      <c r="F40" s="290">
        <f t="shared" si="0"/>
        <v>23.333333333333332</v>
      </c>
      <c r="G40" s="290">
        <v>25</v>
      </c>
      <c r="H40" s="290">
        <f t="shared" si="3"/>
        <v>280</v>
      </c>
      <c r="I40" s="93"/>
    </row>
    <row r="41" spans="1:9" s="92" customFormat="1" ht="13.5" customHeight="1" x14ac:dyDescent="0.2">
      <c r="A41" s="242">
        <v>38</v>
      </c>
      <c r="B41" s="242">
        <v>1313700921</v>
      </c>
      <c r="C41" s="242" t="s">
        <v>713</v>
      </c>
      <c r="D41" s="311">
        <v>90</v>
      </c>
      <c r="E41" s="311">
        <v>90</v>
      </c>
      <c r="F41" s="290">
        <f t="shared" si="0"/>
        <v>7.5</v>
      </c>
      <c r="G41" s="290">
        <v>8</v>
      </c>
      <c r="H41" s="290">
        <f>E41</f>
        <v>90</v>
      </c>
      <c r="I41" s="93"/>
    </row>
    <row r="42" spans="1:9" s="92" customFormat="1" ht="13.5" customHeight="1" x14ac:dyDescent="0.2">
      <c r="A42" s="242">
        <v>39</v>
      </c>
      <c r="B42" s="242">
        <v>1317100920</v>
      </c>
      <c r="C42" s="242" t="s">
        <v>988</v>
      </c>
      <c r="D42" s="311">
        <v>148</v>
      </c>
      <c r="E42" s="311">
        <v>148</v>
      </c>
      <c r="F42" s="290">
        <f t="shared" si="0"/>
        <v>12.333333333333334</v>
      </c>
      <c r="G42" s="290">
        <v>11</v>
      </c>
      <c r="H42" s="290">
        <f t="shared" si="3"/>
        <v>148</v>
      </c>
      <c r="I42" s="93"/>
    </row>
    <row r="43" spans="1:9" s="92" customFormat="1" ht="13.5" customHeight="1" x14ac:dyDescent="0.2">
      <c r="A43" s="242">
        <v>40</v>
      </c>
      <c r="B43" s="242">
        <v>1317100990</v>
      </c>
      <c r="C43" s="242" t="s">
        <v>989</v>
      </c>
      <c r="D43" s="311">
        <v>2000</v>
      </c>
      <c r="E43" s="311">
        <v>2100</v>
      </c>
      <c r="F43" s="290">
        <f t="shared" si="0"/>
        <v>175</v>
      </c>
      <c r="G43" s="290">
        <v>0</v>
      </c>
      <c r="H43" s="290">
        <f t="shared" si="3"/>
        <v>2100</v>
      </c>
      <c r="I43" s="93"/>
    </row>
    <row r="44" spans="1:9" s="92" customFormat="1" ht="13.5" customHeight="1" x14ac:dyDescent="0.2">
      <c r="A44" s="242">
        <v>41</v>
      </c>
      <c r="B44" s="242">
        <v>1317300920</v>
      </c>
      <c r="C44" s="242" t="s">
        <v>44</v>
      </c>
      <c r="D44" s="311">
        <v>2100</v>
      </c>
      <c r="E44" s="311">
        <v>2000</v>
      </c>
      <c r="F44" s="290">
        <f t="shared" si="0"/>
        <v>166.66666666666666</v>
      </c>
      <c r="G44" s="290">
        <v>135</v>
      </c>
      <c r="H44" s="290">
        <f t="shared" si="3"/>
        <v>2000</v>
      </c>
      <c r="I44" s="93"/>
    </row>
    <row r="45" spans="1:9" s="92" customFormat="1" ht="13.5" customHeight="1" x14ac:dyDescent="0.2">
      <c r="A45" s="242">
        <v>42</v>
      </c>
      <c r="B45" s="242">
        <v>1317700920</v>
      </c>
      <c r="C45" s="242" t="s">
        <v>45</v>
      </c>
      <c r="D45" s="313">
        <v>390</v>
      </c>
      <c r="E45" s="313">
        <v>390</v>
      </c>
      <c r="F45" s="290">
        <f t="shared" si="0"/>
        <v>32.5</v>
      </c>
      <c r="G45" s="290">
        <v>42</v>
      </c>
      <c r="H45" s="290">
        <v>420</v>
      </c>
      <c r="I45" s="93"/>
    </row>
    <row r="46" spans="1:9" s="92" customFormat="1" ht="13.5" customHeight="1" x14ac:dyDescent="0.2">
      <c r="A46" s="242">
        <v>43</v>
      </c>
      <c r="B46" s="242">
        <v>1317800920</v>
      </c>
      <c r="C46" s="242" t="s">
        <v>46</v>
      </c>
      <c r="D46" s="314">
        <v>3700</v>
      </c>
      <c r="E46" s="314">
        <v>3800</v>
      </c>
      <c r="F46" s="290">
        <f t="shared" si="0"/>
        <v>316.66666666666669</v>
      </c>
      <c r="G46" s="290">
        <v>312</v>
      </c>
      <c r="H46" s="290">
        <f t="shared" si="3"/>
        <v>3800</v>
      </c>
      <c r="I46" s="93"/>
    </row>
    <row r="47" spans="1:9" s="92" customFormat="1" ht="13.5" customHeight="1" x14ac:dyDescent="0.2">
      <c r="A47" s="242">
        <v>44</v>
      </c>
      <c r="B47" s="242">
        <v>1317810920</v>
      </c>
      <c r="C47" s="242" t="s">
        <v>714</v>
      </c>
      <c r="D47" s="311">
        <v>2000</v>
      </c>
      <c r="E47" s="311">
        <v>2000</v>
      </c>
      <c r="F47" s="290">
        <f t="shared" si="0"/>
        <v>166.66666666666666</v>
      </c>
      <c r="G47" s="290">
        <v>0</v>
      </c>
      <c r="H47" s="290">
        <v>2130</v>
      </c>
      <c r="I47" s="93"/>
    </row>
    <row r="48" spans="1:9" s="92" customFormat="1" ht="13.5" customHeight="1" x14ac:dyDescent="0.2">
      <c r="A48" s="242">
        <v>45</v>
      </c>
      <c r="B48" s="242">
        <v>1328110920</v>
      </c>
      <c r="C48" s="242" t="s">
        <v>1083</v>
      </c>
      <c r="D48" s="312">
        <v>98</v>
      </c>
      <c r="E48" s="312">
        <v>30</v>
      </c>
      <c r="F48" s="290">
        <f t="shared" si="0"/>
        <v>2.5</v>
      </c>
      <c r="G48" s="290">
        <v>0</v>
      </c>
      <c r="H48" s="290">
        <f t="shared" si="3"/>
        <v>30</v>
      </c>
      <c r="I48" s="93"/>
    </row>
    <row r="49" spans="1:15" s="92" customFormat="1" ht="13.5" customHeight="1" x14ac:dyDescent="0.2">
      <c r="A49" s="242">
        <v>46</v>
      </c>
      <c r="B49" s="243">
        <v>1813296780</v>
      </c>
      <c r="C49" s="242" t="s">
        <v>1141</v>
      </c>
      <c r="D49" s="312">
        <v>0</v>
      </c>
      <c r="E49" s="312">
        <v>0</v>
      </c>
      <c r="F49" s="290">
        <f t="shared" si="0"/>
        <v>0</v>
      </c>
      <c r="G49" s="290">
        <v>0</v>
      </c>
      <c r="H49" s="290">
        <f t="shared" si="3"/>
        <v>0</v>
      </c>
      <c r="I49" s="93"/>
    </row>
    <row r="50" spans="1:15" ht="15" x14ac:dyDescent="0.25">
      <c r="A50" s="338"/>
      <c r="B50" s="416" t="s">
        <v>419</v>
      </c>
      <c r="C50" s="416"/>
      <c r="D50" s="395">
        <f>SUM(D5:D49)</f>
        <v>48151</v>
      </c>
      <c r="E50" s="395">
        <f>SUM(E5:E49)</f>
        <v>45621</v>
      </c>
      <c r="F50" s="395">
        <f>SUM(F5:F49)</f>
        <v>3801.75</v>
      </c>
      <c r="G50" s="395">
        <f>SUM(G5:G49)</f>
        <v>4510</v>
      </c>
      <c r="H50" s="395">
        <f>SUM(H4:H49)</f>
        <v>47681</v>
      </c>
    </row>
    <row r="51" spans="1:15" ht="15.6" customHeight="1" x14ac:dyDescent="0.2">
      <c r="M51" s="1"/>
      <c r="N51" s="1"/>
      <c r="O51" s="1"/>
    </row>
    <row r="52" spans="1:15" s="117" customFormat="1" ht="47.1" customHeight="1" x14ac:dyDescent="0.2">
      <c r="A52" s="116" t="s">
        <v>596</v>
      </c>
      <c r="B52" s="116" t="s">
        <v>0</v>
      </c>
      <c r="C52" s="116" t="s">
        <v>1</v>
      </c>
      <c r="D52" s="113" t="s">
        <v>1159</v>
      </c>
      <c r="E52" s="113" t="s">
        <v>1156</v>
      </c>
      <c r="F52" s="175" t="s">
        <v>1160</v>
      </c>
      <c r="G52" s="175" t="s">
        <v>1161</v>
      </c>
      <c r="H52" s="175" t="s">
        <v>1162</v>
      </c>
      <c r="I52" s="127"/>
    </row>
    <row r="53" spans="1:15" s="95" customFormat="1" ht="13.5" x14ac:dyDescent="0.2">
      <c r="A53" s="96">
        <v>1</v>
      </c>
      <c r="B53" s="96">
        <v>1312310920</v>
      </c>
      <c r="C53" s="96" t="s">
        <v>33</v>
      </c>
      <c r="D53" s="294">
        <v>7400</v>
      </c>
      <c r="E53" s="294">
        <v>7400</v>
      </c>
      <c r="F53" s="294">
        <f>E53/12</f>
        <v>616.66666666666663</v>
      </c>
      <c r="G53" s="294">
        <v>0</v>
      </c>
      <c r="H53" s="294">
        <f>E53</f>
        <v>7400</v>
      </c>
      <c r="I53" s="97"/>
    </row>
    <row r="54" spans="1:15" s="95" customFormat="1" ht="15" x14ac:dyDescent="0.25">
      <c r="A54" s="74"/>
      <c r="B54" s="417" t="str">
        <f>B50</f>
        <v>סה"כ</v>
      </c>
      <c r="C54" s="417"/>
      <c r="D54" s="234">
        <f t="shared" ref="D54:E54" si="4">SUM(D53)</f>
        <v>7400</v>
      </c>
      <c r="E54" s="234">
        <f t="shared" si="4"/>
        <v>7400</v>
      </c>
      <c r="F54" s="234">
        <f>SUM(F53)</f>
        <v>616.66666666666663</v>
      </c>
      <c r="G54" s="234">
        <f>SUM(G53)</f>
        <v>0</v>
      </c>
      <c r="H54" s="234">
        <f>SUM(H53)</f>
        <v>7400</v>
      </c>
      <c r="I54" s="97"/>
    </row>
    <row r="55" spans="1:15" ht="15.6" customHeight="1" x14ac:dyDescent="0.25">
      <c r="M55" s="22"/>
    </row>
    <row r="56" spans="1:15" ht="23.25" x14ac:dyDescent="0.35">
      <c r="A56" s="418" t="s">
        <v>421</v>
      </c>
      <c r="B56" s="418"/>
      <c r="C56" s="418"/>
      <c r="D56" s="418"/>
      <c r="E56" s="418"/>
      <c r="F56" s="418"/>
      <c r="G56" s="418"/>
      <c r="H56" s="418"/>
      <c r="I56" s="272"/>
      <c r="J56" s="272"/>
    </row>
    <row r="57" spans="1:15" ht="10.9" customHeight="1" x14ac:dyDescent="0.2"/>
    <row r="58" spans="1:15" s="117" customFormat="1" ht="47.1" customHeight="1" x14ac:dyDescent="0.2">
      <c r="A58" s="334" t="s">
        <v>596</v>
      </c>
      <c r="B58" s="334" t="s">
        <v>0</v>
      </c>
      <c r="C58" s="334" t="s">
        <v>1</v>
      </c>
      <c r="D58" s="330" t="s">
        <v>1159</v>
      </c>
      <c r="E58" s="330" t="s">
        <v>1156</v>
      </c>
      <c r="F58" s="331" t="s">
        <v>1160</v>
      </c>
      <c r="G58" s="331" t="s">
        <v>1161</v>
      </c>
      <c r="H58" s="331" t="s">
        <v>1162</v>
      </c>
    </row>
    <row r="59" spans="1:15" s="95" customFormat="1" ht="13.5" customHeight="1" x14ac:dyDescent="0.2">
      <c r="A59" s="242">
        <v>1</v>
      </c>
      <c r="B59" s="391">
        <v>1312200420</v>
      </c>
      <c r="C59" s="242" t="s">
        <v>32</v>
      </c>
      <c r="D59" s="242">
        <v>500</v>
      </c>
      <c r="E59" s="242">
        <v>500</v>
      </c>
      <c r="F59" s="392">
        <f>E59/12</f>
        <v>41.666666666666664</v>
      </c>
      <c r="G59" s="242">
        <v>10</v>
      </c>
      <c r="H59" s="242">
        <f>E59</f>
        <v>500</v>
      </c>
    </row>
    <row r="60" spans="1:15" s="95" customFormat="1" ht="13.5" customHeight="1" x14ac:dyDescent="0.2">
      <c r="A60" s="242">
        <v>2</v>
      </c>
      <c r="B60" s="391">
        <v>1312300410</v>
      </c>
      <c r="C60" s="242" t="s">
        <v>990</v>
      </c>
      <c r="D60" s="242">
        <v>34</v>
      </c>
      <c r="E60" s="242">
        <v>5</v>
      </c>
      <c r="F60" s="392">
        <f t="shared" ref="F60:F66" si="5">E60/12</f>
        <v>0.41666666666666669</v>
      </c>
      <c r="G60" s="242">
        <v>10</v>
      </c>
      <c r="H60" s="242">
        <f t="shared" ref="H60:H61" si="6">E60</f>
        <v>5</v>
      </c>
    </row>
    <row r="61" spans="1:15" s="95" customFormat="1" ht="13.5" customHeight="1" x14ac:dyDescent="0.2">
      <c r="A61" s="242">
        <v>3</v>
      </c>
      <c r="B61" s="391">
        <v>1312310410</v>
      </c>
      <c r="C61" s="242" t="s">
        <v>991</v>
      </c>
      <c r="D61" s="242">
        <v>100</v>
      </c>
      <c r="E61" s="242">
        <v>120</v>
      </c>
      <c r="F61" s="392">
        <f t="shared" si="5"/>
        <v>10</v>
      </c>
      <c r="G61" s="242">
        <v>0</v>
      </c>
      <c r="H61" s="242">
        <f t="shared" si="6"/>
        <v>120</v>
      </c>
    </row>
    <row r="62" spans="1:15" s="95" customFormat="1" ht="13.5" customHeight="1" x14ac:dyDescent="0.2">
      <c r="A62" s="242">
        <v>4</v>
      </c>
      <c r="B62" s="391">
        <v>1312800220</v>
      </c>
      <c r="C62" s="242" t="s">
        <v>34</v>
      </c>
      <c r="D62" s="242">
        <v>350</v>
      </c>
      <c r="E62" s="242">
        <v>350</v>
      </c>
      <c r="F62" s="392">
        <f t="shared" si="5"/>
        <v>29.166666666666668</v>
      </c>
      <c r="G62" s="242">
        <v>0</v>
      </c>
      <c r="H62" s="242">
        <v>400</v>
      </c>
    </row>
    <row r="63" spans="1:15" s="95" customFormat="1" ht="13.5" customHeight="1" x14ac:dyDescent="0.2">
      <c r="A63" s="242">
        <v>5</v>
      </c>
      <c r="B63" s="391">
        <v>1313700420</v>
      </c>
      <c r="C63" s="242" t="s">
        <v>41</v>
      </c>
      <c r="D63" s="242">
        <v>59</v>
      </c>
      <c r="E63" s="242">
        <v>70</v>
      </c>
      <c r="F63" s="392">
        <f t="shared" si="5"/>
        <v>5.833333333333333</v>
      </c>
      <c r="G63" s="242">
        <v>6</v>
      </c>
      <c r="H63" s="242">
        <f>E63</f>
        <v>70</v>
      </c>
    </row>
    <row r="64" spans="1:15" s="95" customFormat="1" ht="13.5" customHeight="1" x14ac:dyDescent="0.2">
      <c r="A64" s="242">
        <v>6</v>
      </c>
      <c r="B64" s="391">
        <v>1315000430</v>
      </c>
      <c r="C64" s="242" t="s">
        <v>43</v>
      </c>
      <c r="D64" s="242">
        <v>300</v>
      </c>
      <c r="E64" s="242">
        <v>300</v>
      </c>
      <c r="F64" s="392">
        <f t="shared" si="5"/>
        <v>25</v>
      </c>
      <c r="G64" s="242">
        <v>0</v>
      </c>
      <c r="H64" s="242">
        <f t="shared" ref="H64:H65" si="7">E64</f>
        <v>300</v>
      </c>
    </row>
    <row r="65" spans="1:9" s="95" customFormat="1" ht="13.5" customHeight="1" x14ac:dyDescent="0.2">
      <c r="A65" s="242">
        <v>7</v>
      </c>
      <c r="B65" s="391">
        <v>1317900220</v>
      </c>
      <c r="C65" s="393" t="s">
        <v>853</v>
      </c>
      <c r="D65" s="392">
        <f>4093*69/1000</f>
        <v>282.41699999999997</v>
      </c>
      <c r="E65" s="242">
        <v>282</v>
      </c>
      <c r="F65" s="392">
        <f t="shared" si="5"/>
        <v>23.5</v>
      </c>
      <c r="G65" s="242">
        <v>9</v>
      </c>
      <c r="H65" s="242">
        <f t="shared" si="7"/>
        <v>282</v>
      </c>
      <c r="I65" s="97"/>
    </row>
    <row r="66" spans="1:9" s="95" customFormat="1" ht="13.5" customHeight="1" x14ac:dyDescent="0.2">
      <c r="A66" s="242">
        <v>8</v>
      </c>
      <c r="B66" s="391">
        <v>1317930220</v>
      </c>
      <c r="C66" s="242" t="s">
        <v>852</v>
      </c>
      <c r="D66" s="242">
        <v>520</v>
      </c>
      <c r="E66" s="242">
        <v>500</v>
      </c>
      <c r="F66" s="392">
        <f t="shared" si="5"/>
        <v>41.666666666666664</v>
      </c>
      <c r="G66" s="242">
        <v>35</v>
      </c>
      <c r="H66" s="242">
        <v>800</v>
      </c>
      <c r="I66" s="97"/>
    </row>
    <row r="67" spans="1:9" ht="15" x14ac:dyDescent="0.25">
      <c r="A67" s="338"/>
      <c r="B67" s="416" t="s">
        <v>419</v>
      </c>
      <c r="C67" s="416"/>
      <c r="D67" s="394">
        <f>SUM(D59:D66)</f>
        <v>2145.4169999999999</v>
      </c>
      <c r="E67" s="394">
        <f>SUM(E59:E66)</f>
        <v>2127</v>
      </c>
      <c r="F67" s="394">
        <f>SUM(F59:F66)</f>
        <v>177.24999999999997</v>
      </c>
      <c r="G67" s="394">
        <f>SUM(G59:G66)</f>
        <v>70</v>
      </c>
      <c r="H67" s="394">
        <f>SUM(H59:H66)</f>
        <v>2477</v>
      </c>
    </row>
  </sheetData>
  <mergeCells count="5">
    <mergeCell ref="B50:C50"/>
    <mergeCell ref="B67:C67"/>
    <mergeCell ref="B54:C54"/>
    <mergeCell ref="A1:H1"/>
    <mergeCell ref="A56:H56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9" firstPageNumber="3" orientation="portrait" useFirstPageNumber="1" r:id="rId1"/>
  <headerFooter>
    <oddFooter>עמוד &amp;P</oddFooter>
  </headerFooter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7">
    <pageSetUpPr fitToPage="1"/>
  </sheetPr>
  <dimension ref="A2:L76"/>
  <sheetViews>
    <sheetView rightToLeft="1" topLeftCell="A8" zoomScaleNormal="100" workbookViewId="0">
      <selection activeCell="H8" sqref="H8"/>
    </sheetView>
  </sheetViews>
  <sheetFormatPr defaultRowHeight="14.25" x14ac:dyDescent="0.2"/>
  <cols>
    <col min="1" max="1" width="5.375" customWidth="1"/>
    <col min="2" max="2" width="12" bestFit="1" customWidth="1"/>
    <col min="3" max="3" width="35.5" customWidth="1"/>
    <col min="4" max="4" width="12.75" customWidth="1"/>
    <col min="5" max="5" width="14.625" customWidth="1"/>
    <col min="6" max="6" width="13.25" customWidth="1"/>
    <col min="7" max="7" width="12.75" customWidth="1"/>
    <col min="8" max="8" width="10.625" bestFit="1" customWidth="1"/>
    <col min="9" max="9" width="12.75" customWidth="1"/>
    <col min="10" max="12" width="11.125" bestFit="1" customWidth="1"/>
  </cols>
  <sheetData>
    <row r="2" spans="1:12" ht="23.25" x14ac:dyDescent="0.35">
      <c r="A2" s="418" t="s">
        <v>422</v>
      </c>
      <c r="B2" s="418"/>
      <c r="C2" s="418"/>
      <c r="D2" s="418"/>
      <c r="E2" s="418"/>
      <c r="F2" s="418"/>
      <c r="G2" s="418"/>
      <c r="H2" s="418"/>
    </row>
    <row r="4" spans="1:12" s="117" customFormat="1" ht="45.6" customHeight="1" x14ac:dyDescent="0.2">
      <c r="A4" s="122" t="s">
        <v>596</v>
      </c>
      <c r="B4" s="123" t="s">
        <v>0</v>
      </c>
      <c r="C4" s="123" t="s">
        <v>1</v>
      </c>
      <c r="D4" s="113" t="s">
        <v>1159</v>
      </c>
      <c r="E4" s="113" t="s">
        <v>1156</v>
      </c>
      <c r="F4" s="175" t="s">
        <v>1160</v>
      </c>
      <c r="G4" s="175" t="s">
        <v>1161</v>
      </c>
      <c r="H4" s="175" t="s">
        <v>1162</v>
      </c>
    </row>
    <row r="5" spans="1:12" x14ac:dyDescent="0.2">
      <c r="A5" s="3">
        <v>1</v>
      </c>
      <c r="B5" s="3">
        <v>1322000920</v>
      </c>
      <c r="C5" s="3" t="s">
        <v>48</v>
      </c>
      <c r="D5" s="118">
        <v>340</v>
      </c>
      <c r="E5" s="118">
        <v>350</v>
      </c>
      <c r="F5" s="163">
        <f>E5/12</f>
        <v>29.166666666666668</v>
      </c>
      <c r="G5" s="118">
        <v>0</v>
      </c>
      <c r="H5" s="118">
        <f>E5</f>
        <v>350</v>
      </c>
      <c r="I5" s="1"/>
      <c r="J5" s="300"/>
    </row>
    <row r="6" spans="1:12" x14ac:dyDescent="0.2">
      <c r="A6" s="3">
        <v>2</v>
      </c>
      <c r="B6" s="3">
        <v>1322000990</v>
      </c>
      <c r="C6" s="3" t="s">
        <v>482</v>
      </c>
      <c r="D6" s="118">
        <f>225+90+150+130+75</f>
        <v>670</v>
      </c>
      <c r="E6" s="118">
        <v>700</v>
      </c>
      <c r="F6" s="163">
        <f t="shared" ref="F6:F8" si="0">E6/12</f>
        <v>58.333333333333336</v>
      </c>
      <c r="G6" s="118">
        <v>0</v>
      </c>
      <c r="H6" s="118">
        <f t="shared" ref="H6:H7" si="1">E6</f>
        <v>700</v>
      </c>
      <c r="I6" s="1"/>
    </row>
    <row r="7" spans="1:12" x14ac:dyDescent="0.2">
      <c r="A7" s="3">
        <v>3</v>
      </c>
      <c r="B7" s="3">
        <v>1322100920</v>
      </c>
      <c r="C7" s="3" t="s">
        <v>1080</v>
      </c>
      <c r="D7" s="118">
        <v>100</v>
      </c>
      <c r="E7" s="118">
        <v>200</v>
      </c>
      <c r="F7" s="163">
        <f t="shared" si="0"/>
        <v>16.666666666666668</v>
      </c>
      <c r="G7" s="118">
        <v>0</v>
      </c>
      <c r="H7" s="118">
        <f t="shared" si="1"/>
        <v>200</v>
      </c>
      <c r="I7" s="1"/>
    </row>
    <row r="8" spans="1:12" x14ac:dyDescent="0.2">
      <c r="A8" s="3">
        <v>4</v>
      </c>
      <c r="B8" s="3">
        <v>1325100920</v>
      </c>
      <c r="C8" s="3" t="s">
        <v>53</v>
      </c>
      <c r="D8" s="118">
        <v>400</v>
      </c>
      <c r="E8" s="118">
        <v>400</v>
      </c>
      <c r="F8" s="163">
        <f t="shared" si="0"/>
        <v>33.333333333333336</v>
      </c>
      <c r="G8" s="118">
        <v>104</v>
      </c>
      <c r="H8" s="316">
        <v>334</v>
      </c>
      <c r="I8" s="1"/>
    </row>
    <row r="9" spans="1:12" s="12" customFormat="1" ht="15.75" x14ac:dyDescent="0.25">
      <c r="A9" s="73"/>
      <c r="B9" s="419" t="s">
        <v>419</v>
      </c>
      <c r="C9" s="419"/>
      <c r="D9" s="116">
        <f t="shared" ref="D9:E9" si="2">SUM(D5:D8)</f>
        <v>1510</v>
      </c>
      <c r="E9" s="116">
        <f t="shared" si="2"/>
        <v>1650</v>
      </c>
      <c r="F9" s="315">
        <f>SUM(F5:F8)</f>
        <v>137.5</v>
      </c>
      <c r="G9" s="116">
        <f>SUM(G5:G8)</f>
        <v>104</v>
      </c>
      <c r="H9" s="116">
        <f>SUM(H5:H8)</f>
        <v>1584</v>
      </c>
    </row>
    <row r="11" spans="1:12" ht="23.25" x14ac:dyDescent="0.35">
      <c r="A11" s="418" t="s">
        <v>423</v>
      </c>
      <c r="B11" s="418"/>
      <c r="C11" s="418"/>
      <c r="D11" s="418"/>
      <c r="E11" s="418"/>
      <c r="F11" s="418"/>
      <c r="G11" s="418"/>
      <c r="H11" s="418"/>
      <c r="J11" s="300"/>
    </row>
    <row r="12" spans="1:12" x14ac:dyDescent="0.2">
      <c r="J12" s="1"/>
      <c r="K12" s="1"/>
      <c r="L12" s="1"/>
    </row>
    <row r="13" spans="1:12" s="124" customFormat="1" ht="47.25" x14ac:dyDescent="0.2">
      <c r="A13" s="123" t="s">
        <v>596</v>
      </c>
      <c r="B13" s="123" t="s">
        <v>0</v>
      </c>
      <c r="C13" s="123" t="s">
        <v>1</v>
      </c>
      <c r="D13" s="113" t="s">
        <v>983</v>
      </c>
      <c r="E13" s="113" t="s">
        <v>1156</v>
      </c>
      <c r="F13" s="175" t="s">
        <v>1160</v>
      </c>
      <c r="G13" s="175" t="s">
        <v>1161</v>
      </c>
      <c r="H13" s="175" t="s">
        <v>1162</v>
      </c>
      <c r="I13" s="129"/>
    </row>
    <row r="14" spans="1:12" x14ac:dyDescent="0.2">
      <c r="A14" s="3">
        <v>1</v>
      </c>
      <c r="B14" s="3">
        <v>1322000420</v>
      </c>
      <c r="C14" s="3" t="s">
        <v>47</v>
      </c>
      <c r="D14" s="118">
        <v>20</v>
      </c>
      <c r="E14" s="118">
        <v>50</v>
      </c>
      <c r="F14" s="163">
        <f>E14/12</f>
        <v>4.166666666666667</v>
      </c>
      <c r="G14" s="118">
        <v>0</v>
      </c>
      <c r="H14" s="118">
        <v>50</v>
      </c>
      <c r="I14" s="1"/>
      <c r="J14" s="300"/>
    </row>
    <row r="15" spans="1:12" x14ac:dyDescent="0.2">
      <c r="A15" s="3">
        <v>2</v>
      </c>
      <c r="B15" s="3">
        <v>1322100420</v>
      </c>
      <c r="C15" s="3" t="s">
        <v>49</v>
      </c>
      <c r="D15" s="118">
        <v>200</v>
      </c>
      <c r="E15" s="118">
        <v>200</v>
      </c>
      <c r="F15" s="163">
        <f t="shared" ref="F15:F20" si="3">E15/12</f>
        <v>16.666666666666668</v>
      </c>
      <c r="G15" s="118">
        <v>15</v>
      </c>
      <c r="H15" s="118">
        <f>E15</f>
        <v>200</v>
      </c>
      <c r="I15" s="1"/>
      <c r="J15" s="300"/>
    </row>
    <row r="16" spans="1:12" x14ac:dyDescent="0.2">
      <c r="A16" s="3">
        <v>3</v>
      </c>
      <c r="B16" s="3">
        <v>1322300420</v>
      </c>
      <c r="C16" s="3" t="s">
        <v>481</v>
      </c>
      <c r="D16" s="118">
        <v>750</v>
      </c>
      <c r="E16" s="316">
        <v>100</v>
      </c>
      <c r="F16" s="163">
        <f t="shared" si="3"/>
        <v>8.3333333333333339</v>
      </c>
      <c r="G16" s="316">
        <v>61</v>
      </c>
      <c r="H16" s="316">
        <v>700</v>
      </c>
      <c r="I16" s="1"/>
      <c r="J16" s="300"/>
    </row>
    <row r="17" spans="1:10" x14ac:dyDescent="0.2">
      <c r="A17" s="3">
        <v>5</v>
      </c>
      <c r="B17" s="3">
        <v>1323000420</v>
      </c>
      <c r="C17" s="3" t="s">
        <v>50</v>
      </c>
      <c r="D17" s="118">
        <v>10</v>
      </c>
      <c r="E17" s="118">
        <v>30</v>
      </c>
      <c r="F17" s="163">
        <f t="shared" si="3"/>
        <v>2.5</v>
      </c>
      <c r="G17" s="118">
        <v>0</v>
      </c>
      <c r="H17" s="118">
        <v>30</v>
      </c>
      <c r="I17" s="1"/>
      <c r="J17" s="300"/>
    </row>
    <row r="18" spans="1:10" x14ac:dyDescent="0.2">
      <c r="A18" s="3">
        <v>6</v>
      </c>
      <c r="B18" s="3">
        <v>1324000420</v>
      </c>
      <c r="C18" s="3" t="s">
        <v>51</v>
      </c>
      <c r="D18" s="118">
        <v>200</v>
      </c>
      <c r="E18" s="118">
        <v>200</v>
      </c>
      <c r="F18" s="163">
        <f t="shared" si="3"/>
        <v>16.666666666666668</v>
      </c>
      <c r="G18" s="118">
        <v>0</v>
      </c>
      <c r="H18" s="118">
        <v>0</v>
      </c>
      <c r="I18" s="1"/>
    </row>
    <row r="19" spans="1:10" x14ac:dyDescent="0.2">
      <c r="A19" s="3">
        <v>7</v>
      </c>
      <c r="B19" s="3">
        <v>1325100220</v>
      </c>
      <c r="C19" s="3" t="s">
        <v>52</v>
      </c>
      <c r="D19" s="118">
        <v>1700</v>
      </c>
      <c r="E19" s="118">
        <v>1800</v>
      </c>
      <c r="F19" s="163">
        <f t="shared" si="3"/>
        <v>150</v>
      </c>
      <c r="G19" s="118">
        <v>12</v>
      </c>
      <c r="H19" s="118">
        <f t="shared" ref="H19:H20" si="4">E19</f>
        <v>1800</v>
      </c>
      <c r="I19" s="1"/>
    </row>
    <row r="20" spans="1:10" x14ac:dyDescent="0.2">
      <c r="A20" s="3">
        <v>8</v>
      </c>
      <c r="B20" s="3">
        <v>1325110220</v>
      </c>
      <c r="C20" s="3" t="s">
        <v>1079</v>
      </c>
      <c r="D20" s="118">
        <v>50</v>
      </c>
      <c r="E20" s="118">
        <v>50</v>
      </c>
      <c r="F20" s="163">
        <f t="shared" si="3"/>
        <v>4.166666666666667</v>
      </c>
      <c r="G20" s="118">
        <v>0</v>
      </c>
      <c r="H20" s="118">
        <f t="shared" si="4"/>
        <v>50</v>
      </c>
      <c r="I20" s="1"/>
    </row>
    <row r="21" spans="1:10" ht="15.75" x14ac:dyDescent="0.25">
      <c r="A21" s="74"/>
      <c r="B21" s="419" t="s">
        <v>419</v>
      </c>
      <c r="C21" s="419"/>
      <c r="D21" s="317">
        <f>SUM(D14:D20)</f>
        <v>2930</v>
      </c>
      <c r="E21" s="317">
        <f>SUM(E14:E20)</f>
        <v>2430</v>
      </c>
      <c r="F21" s="317">
        <f>SUM(F14:F20)</f>
        <v>202.5</v>
      </c>
      <c r="G21" s="317">
        <f>SUM(G14:G20)</f>
        <v>88</v>
      </c>
      <c r="H21" s="317">
        <f>SUM(H14:H20)</f>
        <v>2830</v>
      </c>
    </row>
    <row r="23" spans="1:10" ht="23.25" x14ac:dyDescent="0.35">
      <c r="A23" s="418" t="s">
        <v>424</v>
      </c>
      <c r="B23" s="418"/>
      <c r="C23" s="418"/>
      <c r="D23" s="418"/>
      <c r="E23" s="418"/>
      <c r="F23" s="418"/>
      <c r="G23" s="418"/>
      <c r="H23" s="418"/>
    </row>
    <row r="25" spans="1:10" s="124" customFormat="1" ht="47.25" x14ac:dyDescent="0.2">
      <c r="A25" s="123" t="s">
        <v>596</v>
      </c>
      <c r="B25" s="123" t="s">
        <v>0</v>
      </c>
      <c r="C25" s="123" t="s">
        <v>1</v>
      </c>
      <c r="D25" s="113" t="s">
        <v>983</v>
      </c>
      <c r="E25" s="113" t="s">
        <v>1156</v>
      </c>
      <c r="F25" s="175" t="s">
        <v>1160</v>
      </c>
      <c r="G25" s="175" t="s">
        <v>1161</v>
      </c>
      <c r="H25" s="175" t="s">
        <v>1162</v>
      </c>
    </row>
    <row r="26" spans="1:10" x14ac:dyDescent="0.2">
      <c r="A26" s="3">
        <v>1</v>
      </c>
      <c r="B26" s="3">
        <v>1322800990</v>
      </c>
      <c r="C26" s="3" t="s">
        <v>483</v>
      </c>
      <c r="D26" s="316">
        <v>220</v>
      </c>
      <c r="E26" s="316">
        <v>220</v>
      </c>
      <c r="F26" s="318">
        <f t="shared" ref="F26" si="5">E26/12</f>
        <v>18.333333333333332</v>
      </c>
      <c r="G26" s="316">
        <v>0</v>
      </c>
      <c r="H26" s="316">
        <f>E26</f>
        <v>220</v>
      </c>
    </row>
    <row r="27" spans="1:10" ht="15.75" x14ac:dyDescent="0.25">
      <c r="A27" s="74"/>
      <c r="B27" s="419" t="s">
        <v>419</v>
      </c>
      <c r="C27" s="419"/>
      <c r="D27" s="101">
        <f>SUM(D26:D26)</f>
        <v>220</v>
      </c>
      <c r="E27" s="101">
        <f>SUM(E26:E26)</f>
        <v>220</v>
      </c>
      <c r="F27" s="101">
        <f>SUM(F26:F26)</f>
        <v>18.333333333333332</v>
      </c>
      <c r="G27" s="101">
        <f>SUM(G26:G26)</f>
        <v>0</v>
      </c>
      <c r="H27" s="101">
        <f>SUM(H26)</f>
        <v>220</v>
      </c>
    </row>
    <row r="74" spans="2:3" ht="18" x14ac:dyDescent="0.25">
      <c r="C74" s="5" t="s">
        <v>423</v>
      </c>
    </row>
    <row r="76" spans="2:3" ht="15.75" x14ac:dyDescent="0.25">
      <c r="B76" s="2" t="s">
        <v>0</v>
      </c>
      <c r="C76" s="2" t="s">
        <v>1</v>
      </c>
    </row>
  </sheetData>
  <mergeCells count="6">
    <mergeCell ref="A2:H2"/>
    <mergeCell ref="B9:C9"/>
    <mergeCell ref="B21:C21"/>
    <mergeCell ref="B27:C27"/>
    <mergeCell ref="A23:H23"/>
    <mergeCell ref="A11:H11"/>
  </mergeCells>
  <pageMargins left="0.70866141732283472" right="0.70866141732283472" top="0.74803149606299213" bottom="0.74803149606299213" header="0.31496062992125984" footer="0.31496062992125984"/>
  <pageSetup paperSize="9" scale="68" firstPageNumber="4" fitToHeight="0" orientation="portrait" useFirstPageNumber="1" r:id="rId1"/>
  <headerFooter>
    <oddFooter>עמוד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8"/>
  <dimension ref="A1:I130"/>
  <sheetViews>
    <sheetView rightToLeft="1" topLeftCell="A96" zoomScaleNormal="100" workbookViewId="0">
      <selection activeCell="C107" sqref="C107"/>
    </sheetView>
  </sheetViews>
  <sheetFormatPr defaultRowHeight="14.25" x14ac:dyDescent="0.2"/>
  <cols>
    <col min="1" max="1" width="3.875" bestFit="1" customWidth="1"/>
    <col min="2" max="2" width="10.875" bestFit="1" customWidth="1"/>
    <col min="3" max="3" width="25.375" customWidth="1"/>
    <col min="4" max="4" width="12.625" bestFit="1" customWidth="1"/>
    <col min="5" max="5" width="10.125" customWidth="1"/>
    <col min="6" max="6" width="11.625" customWidth="1"/>
    <col min="7" max="7" width="12.25" customWidth="1"/>
    <col min="8" max="8" width="13.75" customWidth="1"/>
    <col min="10" max="10" width="10.875" bestFit="1" customWidth="1"/>
  </cols>
  <sheetData>
    <row r="1" spans="1:9" ht="25.9" customHeight="1" x14ac:dyDescent="0.35">
      <c r="A1" s="420" t="s">
        <v>425</v>
      </c>
      <c r="B1" s="420"/>
      <c r="C1" s="420"/>
      <c r="D1" s="420"/>
      <c r="E1" s="420"/>
      <c r="F1" s="420"/>
      <c r="G1" s="420"/>
      <c r="H1" s="420"/>
    </row>
    <row r="3" spans="1:9" s="124" customFormat="1" ht="47.25" x14ac:dyDescent="0.2">
      <c r="A3" s="328" t="s">
        <v>596</v>
      </c>
      <c r="B3" s="328" t="s">
        <v>0</v>
      </c>
      <c r="C3" s="328" t="s">
        <v>1</v>
      </c>
      <c r="D3" s="330" t="s">
        <v>1159</v>
      </c>
      <c r="E3" s="330" t="s">
        <v>1156</v>
      </c>
      <c r="F3" s="331" t="s">
        <v>1160</v>
      </c>
      <c r="G3" s="331" t="s">
        <v>1161</v>
      </c>
      <c r="H3" s="331" t="s">
        <v>1162</v>
      </c>
    </row>
    <row r="4" spans="1:9" x14ac:dyDescent="0.2">
      <c r="A4" s="189">
        <v>1</v>
      </c>
      <c r="B4" s="189">
        <v>1341000930</v>
      </c>
      <c r="C4" s="189" t="s">
        <v>1017</v>
      </c>
      <c r="D4" s="189">
        <v>20</v>
      </c>
      <c r="E4" s="189">
        <v>20</v>
      </c>
      <c r="F4" s="253">
        <f>E4/12</f>
        <v>1.6666666666666667</v>
      </c>
      <c r="G4" s="189">
        <v>0</v>
      </c>
      <c r="H4" s="189">
        <f>E4</f>
        <v>20</v>
      </c>
    </row>
    <row r="5" spans="1:9" x14ac:dyDescent="0.2">
      <c r="A5" s="189">
        <v>2</v>
      </c>
      <c r="B5" s="189">
        <v>1341010930</v>
      </c>
      <c r="C5" s="189" t="s">
        <v>54</v>
      </c>
      <c r="D5" s="189">
        <v>11245</v>
      </c>
      <c r="E5" s="189">
        <v>11245</v>
      </c>
      <c r="F5" s="253">
        <f t="shared" ref="F5:F68" si="0">E5/12</f>
        <v>937.08333333333337</v>
      </c>
      <c r="G5" s="189">
        <v>1038</v>
      </c>
      <c r="H5" s="243">
        <f>E5</f>
        <v>11245</v>
      </c>
      <c r="I5" s="275"/>
    </row>
    <row r="6" spans="1:9" x14ac:dyDescent="0.2">
      <c r="A6" s="189">
        <v>3</v>
      </c>
      <c r="B6" s="253">
        <v>1341020930</v>
      </c>
      <c r="C6" s="253" t="s">
        <v>55</v>
      </c>
      <c r="D6" s="189">
        <v>123</v>
      </c>
      <c r="E6" s="189">
        <v>123</v>
      </c>
      <c r="F6" s="253">
        <f t="shared" si="0"/>
        <v>10.25</v>
      </c>
      <c r="G6" s="189">
        <v>11</v>
      </c>
      <c r="H6" s="189">
        <v>82</v>
      </c>
    </row>
    <row r="7" spans="1:9" x14ac:dyDescent="0.2">
      <c r="A7" s="189">
        <v>4</v>
      </c>
      <c r="B7" s="253">
        <v>1341200930</v>
      </c>
      <c r="C7" s="253" t="s">
        <v>56</v>
      </c>
      <c r="D7" s="189">
        <v>365</v>
      </c>
      <c r="E7" s="189">
        <v>365</v>
      </c>
      <c r="F7" s="253">
        <f t="shared" si="0"/>
        <v>30.416666666666668</v>
      </c>
      <c r="G7" s="189">
        <v>28</v>
      </c>
      <c r="H7" s="189">
        <v>288</v>
      </c>
    </row>
    <row r="8" spans="1:9" x14ac:dyDescent="0.2">
      <c r="A8" s="189">
        <v>5</v>
      </c>
      <c r="B8" s="253">
        <v>1341300930</v>
      </c>
      <c r="C8" s="253" t="s">
        <v>1043</v>
      </c>
      <c r="D8" s="189">
        <v>31</v>
      </c>
      <c r="E8" s="189">
        <v>31</v>
      </c>
      <c r="F8" s="253">
        <f t="shared" si="0"/>
        <v>2.5833333333333335</v>
      </c>
      <c r="G8" s="189">
        <v>0</v>
      </c>
      <c r="H8" s="189">
        <f>E8</f>
        <v>31</v>
      </c>
    </row>
    <row r="9" spans="1:9" s="26" customFormat="1" x14ac:dyDescent="0.2">
      <c r="A9" s="189">
        <v>6</v>
      </c>
      <c r="B9" s="253">
        <v>1341030930</v>
      </c>
      <c r="C9" s="253" t="s">
        <v>854</v>
      </c>
      <c r="D9" s="189">
        <v>164</v>
      </c>
      <c r="E9" s="189">
        <v>164</v>
      </c>
      <c r="F9" s="253">
        <f t="shared" si="0"/>
        <v>13.666666666666666</v>
      </c>
      <c r="G9" s="189">
        <v>0</v>
      </c>
      <c r="H9" s="189">
        <f>E9</f>
        <v>164</v>
      </c>
    </row>
    <row r="10" spans="1:9" x14ac:dyDescent="0.2">
      <c r="A10" s="189">
        <v>7</v>
      </c>
      <c r="B10" s="253">
        <v>1342210930</v>
      </c>
      <c r="C10" s="253" t="s">
        <v>57</v>
      </c>
      <c r="D10" s="189">
        <v>350</v>
      </c>
      <c r="E10" s="189">
        <v>350</v>
      </c>
      <c r="F10" s="253">
        <f t="shared" si="0"/>
        <v>29.166666666666668</v>
      </c>
      <c r="G10" s="189">
        <v>1</v>
      </c>
      <c r="H10" s="189">
        <v>80</v>
      </c>
    </row>
    <row r="11" spans="1:9" x14ac:dyDescent="0.2">
      <c r="A11" s="189">
        <v>8</v>
      </c>
      <c r="B11" s="253">
        <v>1342221930</v>
      </c>
      <c r="C11" s="253" t="s">
        <v>572</v>
      </c>
      <c r="D11" s="189">
        <v>67</v>
      </c>
      <c r="E11" s="189">
        <v>67</v>
      </c>
      <c r="F11" s="253">
        <f t="shared" si="0"/>
        <v>5.583333333333333</v>
      </c>
      <c r="G11" s="189">
        <v>6</v>
      </c>
      <c r="H11" s="189">
        <f>E11</f>
        <v>67</v>
      </c>
    </row>
    <row r="12" spans="1:9" s="26" customFormat="1" x14ac:dyDescent="0.2">
      <c r="A12" s="189">
        <v>9</v>
      </c>
      <c r="B12" s="253">
        <v>1342222930</v>
      </c>
      <c r="C12" s="253" t="s">
        <v>855</v>
      </c>
      <c r="D12" s="189">
        <v>86</v>
      </c>
      <c r="E12" s="189">
        <v>86</v>
      </c>
      <c r="F12" s="253">
        <f t="shared" si="0"/>
        <v>7.166666666666667</v>
      </c>
      <c r="G12" s="189">
        <v>0</v>
      </c>
      <c r="H12" s="189">
        <f t="shared" ref="H12:H19" si="1">E12</f>
        <v>86</v>
      </c>
    </row>
    <row r="13" spans="1:9" x14ac:dyDescent="0.2">
      <c r="A13" s="189">
        <v>10</v>
      </c>
      <c r="B13" s="253">
        <v>1342240930</v>
      </c>
      <c r="C13" s="253" t="s">
        <v>325</v>
      </c>
      <c r="D13" s="189">
        <v>153</v>
      </c>
      <c r="E13" s="189">
        <v>153</v>
      </c>
      <c r="F13" s="253">
        <f t="shared" si="0"/>
        <v>12.75</v>
      </c>
      <c r="G13" s="189">
        <v>0</v>
      </c>
      <c r="H13" s="189">
        <f t="shared" si="1"/>
        <v>153</v>
      </c>
    </row>
    <row r="14" spans="1:9" x14ac:dyDescent="0.2">
      <c r="A14" s="189">
        <v>11</v>
      </c>
      <c r="B14" s="253">
        <v>1342290930</v>
      </c>
      <c r="C14" s="253" t="s">
        <v>59</v>
      </c>
      <c r="D14" s="189">
        <v>52</v>
      </c>
      <c r="E14" s="189">
        <v>52</v>
      </c>
      <c r="F14" s="253">
        <f t="shared" si="0"/>
        <v>4.333333333333333</v>
      </c>
      <c r="G14" s="189">
        <v>8</v>
      </c>
      <c r="H14" s="189">
        <f t="shared" si="1"/>
        <v>52</v>
      </c>
    </row>
    <row r="15" spans="1:9" x14ac:dyDescent="0.2">
      <c r="A15" s="189">
        <v>12</v>
      </c>
      <c r="B15" s="253">
        <v>1342410930</v>
      </c>
      <c r="C15" s="253" t="s">
        <v>60</v>
      </c>
      <c r="D15" s="189">
        <v>91</v>
      </c>
      <c r="E15" s="189">
        <v>91</v>
      </c>
      <c r="F15" s="253">
        <f t="shared" si="0"/>
        <v>7.583333333333333</v>
      </c>
      <c r="G15" s="189">
        <v>0</v>
      </c>
      <c r="H15" s="189">
        <f t="shared" si="1"/>
        <v>91</v>
      </c>
    </row>
    <row r="16" spans="1:9" x14ac:dyDescent="0.2">
      <c r="A16" s="189">
        <v>13</v>
      </c>
      <c r="B16" s="253">
        <v>1342411930</v>
      </c>
      <c r="C16" s="253" t="s">
        <v>61</v>
      </c>
      <c r="D16" s="189">
        <v>89</v>
      </c>
      <c r="E16" s="189">
        <v>89</v>
      </c>
      <c r="F16" s="253">
        <f t="shared" si="0"/>
        <v>7.416666666666667</v>
      </c>
      <c r="G16" s="189">
        <v>0</v>
      </c>
      <c r="H16" s="189">
        <f t="shared" si="1"/>
        <v>89</v>
      </c>
    </row>
    <row r="17" spans="1:8" x14ac:dyDescent="0.2">
      <c r="A17" s="189">
        <v>14</v>
      </c>
      <c r="B17" s="253">
        <v>1342420930</v>
      </c>
      <c r="C17" s="253" t="s">
        <v>62</v>
      </c>
      <c r="D17" s="189">
        <v>107</v>
      </c>
      <c r="E17" s="189">
        <v>107</v>
      </c>
      <c r="F17" s="253">
        <f t="shared" si="0"/>
        <v>8.9166666666666661</v>
      </c>
      <c r="G17" s="189">
        <v>0</v>
      </c>
      <c r="H17" s="189">
        <f t="shared" si="1"/>
        <v>107</v>
      </c>
    </row>
    <row r="18" spans="1:8" x14ac:dyDescent="0.2">
      <c r="A18" s="189">
        <v>15</v>
      </c>
      <c r="B18" s="253">
        <v>1342430930</v>
      </c>
      <c r="C18" s="253" t="s">
        <v>63</v>
      </c>
      <c r="D18" s="189">
        <v>359</v>
      </c>
      <c r="E18" s="189">
        <v>359</v>
      </c>
      <c r="F18" s="253">
        <f t="shared" si="0"/>
        <v>29.916666666666668</v>
      </c>
      <c r="G18" s="189">
        <v>18</v>
      </c>
      <c r="H18" s="189">
        <f t="shared" si="1"/>
        <v>359</v>
      </c>
    </row>
    <row r="19" spans="1:8" x14ac:dyDescent="0.2">
      <c r="A19" s="189">
        <v>16</v>
      </c>
      <c r="B19" s="253">
        <v>1342431930</v>
      </c>
      <c r="C19" s="253" t="s">
        <v>64</v>
      </c>
      <c r="D19" s="189">
        <v>47</v>
      </c>
      <c r="E19" s="189">
        <v>47</v>
      </c>
      <c r="F19" s="253">
        <f t="shared" si="0"/>
        <v>3.9166666666666665</v>
      </c>
      <c r="G19" s="189">
        <v>0</v>
      </c>
      <c r="H19" s="189">
        <f t="shared" si="1"/>
        <v>47</v>
      </c>
    </row>
    <row r="20" spans="1:8" x14ac:dyDescent="0.2">
      <c r="A20" s="189">
        <v>17</v>
      </c>
      <c r="B20" s="253">
        <v>1342432930</v>
      </c>
      <c r="C20" s="253" t="s">
        <v>1072</v>
      </c>
      <c r="D20" s="189">
        <v>114</v>
      </c>
      <c r="E20" s="189">
        <v>114</v>
      </c>
      <c r="F20" s="253">
        <f t="shared" si="0"/>
        <v>9.5</v>
      </c>
      <c r="G20" s="189">
        <v>0</v>
      </c>
      <c r="H20" s="189">
        <v>94</v>
      </c>
    </row>
    <row r="21" spans="1:8" x14ac:dyDescent="0.2">
      <c r="A21" s="189">
        <v>18</v>
      </c>
      <c r="B21" s="253">
        <v>1342433930</v>
      </c>
      <c r="C21" s="253" t="s">
        <v>65</v>
      </c>
      <c r="D21" s="189">
        <v>13</v>
      </c>
      <c r="E21" s="189">
        <v>13</v>
      </c>
      <c r="F21" s="253">
        <f t="shared" si="0"/>
        <v>1.0833333333333333</v>
      </c>
      <c r="G21" s="189">
        <v>0</v>
      </c>
      <c r="H21" s="189">
        <f>E21</f>
        <v>13</v>
      </c>
    </row>
    <row r="22" spans="1:8" x14ac:dyDescent="0.2">
      <c r="A22" s="189">
        <v>19</v>
      </c>
      <c r="B22" s="253">
        <v>1342436930</v>
      </c>
      <c r="C22" s="253" t="s">
        <v>1174</v>
      </c>
      <c r="D22" s="189">
        <v>162</v>
      </c>
      <c r="E22" s="189">
        <v>162</v>
      </c>
      <c r="F22" s="253">
        <f t="shared" si="0"/>
        <v>13.5</v>
      </c>
      <c r="G22" s="189">
        <v>0</v>
      </c>
      <c r="H22" s="189">
        <v>171</v>
      </c>
    </row>
    <row r="23" spans="1:8" x14ac:dyDescent="0.2">
      <c r="A23" s="189">
        <v>20</v>
      </c>
      <c r="B23" s="253">
        <v>1342437930</v>
      </c>
      <c r="C23" s="253" t="s">
        <v>718</v>
      </c>
      <c r="D23" s="189">
        <v>26</v>
      </c>
      <c r="E23" s="189">
        <v>0</v>
      </c>
      <c r="F23" s="253">
        <f t="shared" si="0"/>
        <v>0</v>
      </c>
      <c r="G23" s="189">
        <v>0</v>
      </c>
      <c r="H23" s="189">
        <f>E23</f>
        <v>0</v>
      </c>
    </row>
    <row r="24" spans="1:8" x14ac:dyDescent="0.2">
      <c r="A24" s="189">
        <v>21</v>
      </c>
      <c r="B24" s="253">
        <v>1342440930</v>
      </c>
      <c r="C24" s="243" t="s">
        <v>856</v>
      </c>
      <c r="D24" s="189">
        <v>8</v>
      </c>
      <c r="E24" s="189">
        <v>8</v>
      </c>
      <c r="F24" s="253">
        <f t="shared" si="0"/>
        <v>0.66666666666666663</v>
      </c>
      <c r="G24" s="189">
        <v>0</v>
      </c>
      <c r="H24" s="189">
        <f t="shared" ref="H24:H34" si="2">E24</f>
        <v>8</v>
      </c>
    </row>
    <row r="25" spans="1:8" x14ac:dyDescent="0.2">
      <c r="A25" s="189">
        <v>22</v>
      </c>
      <c r="B25" s="253">
        <v>1342441930</v>
      </c>
      <c r="C25" s="253" t="s">
        <v>66</v>
      </c>
      <c r="D25" s="189">
        <v>192</v>
      </c>
      <c r="E25" s="189">
        <v>192</v>
      </c>
      <c r="F25" s="253">
        <f t="shared" si="0"/>
        <v>16</v>
      </c>
      <c r="G25" s="189">
        <v>0</v>
      </c>
      <c r="H25" s="189">
        <f t="shared" si="2"/>
        <v>192</v>
      </c>
    </row>
    <row r="26" spans="1:8" x14ac:dyDescent="0.2">
      <c r="A26" s="189">
        <v>23</v>
      </c>
      <c r="B26" s="253">
        <v>1342450930</v>
      </c>
      <c r="C26" s="253" t="s">
        <v>67</v>
      </c>
      <c r="D26" s="189">
        <v>61</v>
      </c>
      <c r="E26" s="189">
        <v>61</v>
      </c>
      <c r="F26" s="253">
        <f t="shared" si="0"/>
        <v>5.083333333333333</v>
      </c>
      <c r="G26" s="189">
        <v>0</v>
      </c>
      <c r="H26" s="189">
        <f t="shared" si="2"/>
        <v>61</v>
      </c>
    </row>
    <row r="27" spans="1:8" x14ac:dyDescent="0.2">
      <c r="A27" s="189">
        <v>24</v>
      </c>
      <c r="B27" s="253">
        <v>1342451930</v>
      </c>
      <c r="C27" s="243" t="s">
        <v>1028</v>
      </c>
      <c r="D27" s="189">
        <v>279</v>
      </c>
      <c r="E27" s="189">
        <v>279</v>
      </c>
      <c r="F27" s="253">
        <f t="shared" si="0"/>
        <v>23.25</v>
      </c>
      <c r="G27" s="189">
        <v>0</v>
      </c>
      <c r="H27" s="189">
        <f t="shared" si="2"/>
        <v>279</v>
      </c>
    </row>
    <row r="28" spans="1:8" x14ac:dyDescent="0.2">
      <c r="A28" s="189">
        <v>25</v>
      </c>
      <c r="B28" s="253">
        <v>1342453930</v>
      </c>
      <c r="C28" s="253" t="s">
        <v>1059</v>
      </c>
      <c r="D28" s="189">
        <v>72</v>
      </c>
      <c r="E28" s="189">
        <v>20</v>
      </c>
      <c r="F28" s="253">
        <f t="shared" si="0"/>
        <v>1.6666666666666667</v>
      </c>
      <c r="G28" s="189">
        <v>0</v>
      </c>
      <c r="H28" s="189">
        <f t="shared" si="2"/>
        <v>20</v>
      </c>
    </row>
    <row r="29" spans="1:8" x14ac:dyDescent="0.2">
      <c r="A29" s="189">
        <v>26</v>
      </c>
      <c r="B29" s="253">
        <v>1343501930</v>
      </c>
      <c r="C29" s="253" t="s">
        <v>587</v>
      </c>
      <c r="D29" s="189">
        <v>18</v>
      </c>
      <c r="E29" s="189">
        <v>18</v>
      </c>
      <c r="F29" s="253">
        <f t="shared" si="0"/>
        <v>1.5</v>
      </c>
      <c r="G29" s="189">
        <v>0</v>
      </c>
      <c r="H29" s="189">
        <f t="shared" si="2"/>
        <v>18</v>
      </c>
    </row>
    <row r="30" spans="1:8" x14ac:dyDescent="0.2">
      <c r="A30" s="189">
        <v>27</v>
      </c>
      <c r="B30" s="253">
        <v>1343510930</v>
      </c>
      <c r="C30" s="253" t="s">
        <v>71</v>
      </c>
      <c r="D30" s="189">
        <v>290</v>
      </c>
      <c r="E30" s="189">
        <v>290</v>
      </c>
      <c r="F30" s="253">
        <f t="shared" si="0"/>
        <v>24.166666666666668</v>
      </c>
      <c r="G30" s="189">
        <v>0</v>
      </c>
      <c r="H30" s="189">
        <f t="shared" si="2"/>
        <v>290</v>
      </c>
    </row>
    <row r="31" spans="1:8" x14ac:dyDescent="0.2">
      <c r="A31" s="189">
        <v>28</v>
      </c>
      <c r="B31" s="253">
        <v>1343530930</v>
      </c>
      <c r="C31" s="253" t="s">
        <v>73</v>
      </c>
      <c r="D31" s="189">
        <v>467</v>
      </c>
      <c r="E31" s="189">
        <v>467</v>
      </c>
      <c r="F31" s="253">
        <f t="shared" si="0"/>
        <v>38.916666666666664</v>
      </c>
      <c r="G31" s="189">
        <v>1</v>
      </c>
      <c r="H31" s="189">
        <f>E31</f>
        <v>467</v>
      </c>
    </row>
    <row r="32" spans="1:8" x14ac:dyDescent="0.2">
      <c r="A32" s="189">
        <v>29</v>
      </c>
      <c r="B32" s="253">
        <v>1343540930</v>
      </c>
      <c r="C32" s="253" t="s">
        <v>74</v>
      </c>
      <c r="D32" s="189">
        <v>173</v>
      </c>
      <c r="E32" s="189">
        <v>173</v>
      </c>
      <c r="F32" s="253">
        <f t="shared" si="0"/>
        <v>14.416666666666666</v>
      </c>
      <c r="G32" s="189">
        <v>1</v>
      </c>
      <c r="H32" s="189">
        <f t="shared" si="2"/>
        <v>173</v>
      </c>
    </row>
    <row r="33" spans="1:8" x14ac:dyDescent="0.2">
      <c r="A33" s="189">
        <v>30</v>
      </c>
      <c r="B33" s="253">
        <v>1343550930</v>
      </c>
      <c r="C33" s="253" t="s">
        <v>75</v>
      </c>
      <c r="D33" s="189">
        <v>453</v>
      </c>
      <c r="E33" s="189">
        <v>453</v>
      </c>
      <c r="F33" s="253">
        <f t="shared" si="0"/>
        <v>37.75</v>
      </c>
      <c r="G33" s="189">
        <v>0</v>
      </c>
      <c r="H33" s="189">
        <f t="shared" si="2"/>
        <v>453</v>
      </c>
    </row>
    <row r="34" spans="1:8" x14ac:dyDescent="0.2">
      <c r="A34" s="189">
        <v>31</v>
      </c>
      <c r="B34" s="253">
        <v>1343551930</v>
      </c>
      <c r="C34" s="253" t="s">
        <v>76</v>
      </c>
      <c r="D34" s="189">
        <v>328</v>
      </c>
      <c r="E34" s="189">
        <v>328</v>
      </c>
      <c r="F34" s="253">
        <f t="shared" si="0"/>
        <v>27.333333333333332</v>
      </c>
      <c r="G34" s="189">
        <v>18</v>
      </c>
      <c r="H34" s="189">
        <f t="shared" si="2"/>
        <v>328</v>
      </c>
    </row>
    <row r="35" spans="1:8" x14ac:dyDescent="0.2">
      <c r="A35" s="189">
        <v>32</v>
      </c>
      <c r="B35" s="253">
        <v>1343552930</v>
      </c>
      <c r="C35" s="253" t="s">
        <v>859</v>
      </c>
      <c r="D35" s="189">
        <v>130</v>
      </c>
      <c r="E35" s="189">
        <v>130</v>
      </c>
      <c r="F35" s="253">
        <f t="shared" si="0"/>
        <v>10.833333333333334</v>
      </c>
      <c r="G35" s="189">
        <v>8</v>
      </c>
      <c r="H35" s="189">
        <v>100</v>
      </c>
    </row>
    <row r="36" spans="1:8" x14ac:dyDescent="0.2">
      <c r="A36" s="189">
        <v>33</v>
      </c>
      <c r="B36" s="253">
        <v>1343581930</v>
      </c>
      <c r="C36" s="243" t="s">
        <v>1018</v>
      </c>
      <c r="D36" s="189">
        <v>1</v>
      </c>
      <c r="E36" s="189">
        <v>1</v>
      </c>
      <c r="F36" s="253">
        <f t="shared" si="0"/>
        <v>8.3333333333333329E-2</v>
      </c>
      <c r="G36" s="189">
        <v>0</v>
      </c>
      <c r="H36" s="189">
        <f>E36</f>
        <v>1</v>
      </c>
    </row>
    <row r="37" spans="1:8" x14ac:dyDescent="0.2">
      <c r="A37" s="189">
        <v>34</v>
      </c>
      <c r="B37" s="253">
        <v>1343810930</v>
      </c>
      <c r="C37" s="253" t="s">
        <v>77</v>
      </c>
      <c r="D37" s="189">
        <v>3244</v>
      </c>
      <c r="E37" s="189">
        <v>3244</v>
      </c>
      <c r="F37" s="253">
        <f t="shared" si="0"/>
        <v>270.33333333333331</v>
      </c>
      <c r="G37" s="189">
        <v>293</v>
      </c>
      <c r="H37" s="189">
        <f>E37</f>
        <v>3244</v>
      </c>
    </row>
    <row r="38" spans="1:8" x14ac:dyDescent="0.2">
      <c r="A38" s="189">
        <v>35</v>
      </c>
      <c r="B38" s="253">
        <v>1343820930</v>
      </c>
      <c r="C38" s="253" t="s">
        <v>78</v>
      </c>
      <c r="D38" s="189">
        <v>88</v>
      </c>
      <c r="E38" s="189">
        <v>88</v>
      </c>
      <c r="F38" s="253">
        <f t="shared" si="0"/>
        <v>7.333333333333333</v>
      </c>
      <c r="G38" s="189">
        <v>8</v>
      </c>
      <c r="H38" s="189">
        <v>97</v>
      </c>
    </row>
    <row r="39" spans="1:8" x14ac:dyDescent="0.2">
      <c r="A39" s="189">
        <v>36</v>
      </c>
      <c r="B39" s="253">
        <v>1343910930</v>
      </c>
      <c r="C39" s="253" t="s">
        <v>79</v>
      </c>
      <c r="D39" s="189">
        <v>798</v>
      </c>
      <c r="E39" s="189">
        <v>798</v>
      </c>
      <c r="F39" s="253">
        <f t="shared" si="0"/>
        <v>66.5</v>
      </c>
      <c r="G39" s="189">
        <v>101</v>
      </c>
      <c r="H39" s="189">
        <f>E39</f>
        <v>798</v>
      </c>
    </row>
    <row r="40" spans="1:8" x14ac:dyDescent="0.2">
      <c r="A40" s="189">
        <v>37</v>
      </c>
      <c r="B40" s="253">
        <v>1344310930</v>
      </c>
      <c r="C40" s="253" t="s">
        <v>80</v>
      </c>
      <c r="D40" s="189">
        <v>2868</v>
      </c>
      <c r="E40" s="189">
        <v>2868</v>
      </c>
      <c r="F40" s="253">
        <f t="shared" si="0"/>
        <v>239</v>
      </c>
      <c r="G40" s="189">
        <v>225</v>
      </c>
      <c r="H40" s="189">
        <f t="shared" ref="H40:H42" si="3">E40</f>
        <v>2868</v>
      </c>
    </row>
    <row r="41" spans="1:8" x14ac:dyDescent="0.2">
      <c r="A41" s="189">
        <v>38</v>
      </c>
      <c r="B41" s="390">
        <v>1344414930</v>
      </c>
      <c r="C41" s="390" t="s">
        <v>81</v>
      </c>
      <c r="D41" s="189">
        <v>49</v>
      </c>
      <c r="E41" s="189">
        <v>49</v>
      </c>
      <c r="F41" s="253">
        <f t="shared" si="0"/>
        <v>4.083333333333333</v>
      </c>
      <c r="G41" s="189">
        <v>0</v>
      </c>
      <c r="H41" s="189">
        <f t="shared" si="3"/>
        <v>49</v>
      </c>
    </row>
    <row r="42" spans="1:8" x14ac:dyDescent="0.2">
      <c r="A42" s="189">
        <v>39</v>
      </c>
      <c r="B42" s="253">
        <v>1344415930</v>
      </c>
      <c r="C42" s="189" t="s">
        <v>1019</v>
      </c>
      <c r="D42" s="189">
        <v>2</v>
      </c>
      <c r="E42" s="189">
        <v>2</v>
      </c>
      <c r="F42" s="253">
        <f t="shared" si="0"/>
        <v>0.16666666666666666</v>
      </c>
      <c r="G42" s="189">
        <v>0</v>
      </c>
      <c r="H42" s="189">
        <f t="shared" si="3"/>
        <v>2</v>
      </c>
    </row>
    <row r="43" spans="1:8" x14ac:dyDescent="0.2">
      <c r="A43" s="189">
        <v>40</v>
      </c>
      <c r="B43" s="189">
        <v>1344416930</v>
      </c>
      <c r="C43" s="189" t="s">
        <v>1029</v>
      </c>
      <c r="D43" s="189">
        <v>1133</v>
      </c>
      <c r="E43" s="189">
        <v>1133</v>
      </c>
      <c r="F43" s="253">
        <f t="shared" si="0"/>
        <v>94.416666666666671</v>
      </c>
      <c r="G43" s="189">
        <v>43</v>
      </c>
      <c r="H43" s="189">
        <v>1049</v>
      </c>
    </row>
    <row r="44" spans="1:8" x14ac:dyDescent="0.2">
      <c r="A44" s="189">
        <v>41</v>
      </c>
      <c r="B44" s="253">
        <v>1344420930</v>
      </c>
      <c r="C44" s="253" t="s">
        <v>82</v>
      </c>
      <c r="D44" s="189">
        <v>31</v>
      </c>
      <c r="E44" s="189">
        <v>31</v>
      </c>
      <c r="F44" s="253">
        <f t="shared" si="0"/>
        <v>2.5833333333333335</v>
      </c>
      <c r="G44" s="189">
        <v>0</v>
      </c>
      <c r="H44" s="189">
        <v>29</v>
      </c>
    </row>
    <row r="45" spans="1:8" x14ac:dyDescent="0.2">
      <c r="A45" s="189">
        <v>42</v>
      </c>
      <c r="B45" s="253">
        <v>1344440930</v>
      </c>
      <c r="C45" s="253" t="s">
        <v>83</v>
      </c>
      <c r="D45" s="189">
        <v>36</v>
      </c>
      <c r="E45" s="189">
        <v>36</v>
      </c>
      <c r="F45" s="253">
        <f t="shared" si="0"/>
        <v>3</v>
      </c>
      <c r="G45" s="189">
        <v>0</v>
      </c>
      <c r="H45" s="189">
        <f>E45</f>
        <v>36</v>
      </c>
    </row>
    <row r="46" spans="1:8" x14ac:dyDescent="0.2">
      <c r="A46" s="189">
        <v>43</v>
      </c>
      <c r="B46" s="253">
        <v>1344450930</v>
      </c>
      <c r="C46" s="253" t="s">
        <v>84</v>
      </c>
      <c r="D46" s="189">
        <v>62</v>
      </c>
      <c r="E46" s="189">
        <v>62</v>
      </c>
      <c r="F46" s="253">
        <f t="shared" si="0"/>
        <v>5.166666666666667</v>
      </c>
      <c r="G46" s="189">
        <v>0</v>
      </c>
      <c r="H46" s="189">
        <f>E46</f>
        <v>62</v>
      </c>
    </row>
    <row r="47" spans="1:8" x14ac:dyDescent="0.2">
      <c r="A47" s="189">
        <v>44</v>
      </c>
      <c r="B47" s="253">
        <v>1344470930</v>
      </c>
      <c r="C47" s="253" t="s">
        <v>85</v>
      </c>
      <c r="D47" s="189">
        <v>656</v>
      </c>
      <c r="E47" s="189">
        <v>656</v>
      </c>
      <c r="F47" s="253">
        <f t="shared" si="0"/>
        <v>54.666666666666664</v>
      </c>
      <c r="G47" s="189">
        <v>16</v>
      </c>
      <c r="H47" s="189">
        <v>472</v>
      </c>
    </row>
    <row r="48" spans="1:8" x14ac:dyDescent="0.2">
      <c r="A48" s="189">
        <v>45</v>
      </c>
      <c r="B48" s="253">
        <v>1344480930</v>
      </c>
      <c r="C48" s="253" t="s">
        <v>86</v>
      </c>
      <c r="D48" s="189">
        <v>82</v>
      </c>
      <c r="E48" s="189">
        <v>82</v>
      </c>
      <c r="F48" s="253">
        <f t="shared" si="0"/>
        <v>6.833333333333333</v>
      </c>
      <c r="G48" s="189">
        <v>0</v>
      </c>
      <c r="H48" s="189">
        <f>E48</f>
        <v>82</v>
      </c>
    </row>
    <row r="49" spans="1:8" x14ac:dyDescent="0.2">
      <c r="A49" s="189">
        <v>46</v>
      </c>
      <c r="B49" s="253">
        <v>1344481930</v>
      </c>
      <c r="C49" s="253" t="s">
        <v>87</v>
      </c>
      <c r="D49" s="189">
        <v>39</v>
      </c>
      <c r="E49" s="189">
        <v>39</v>
      </c>
      <c r="F49" s="253">
        <f t="shared" si="0"/>
        <v>3.25</v>
      </c>
      <c r="G49" s="189">
        <v>0</v>
      </c>
      <c r="H49" s="189">
        <f t="shared" ref="H49:H75" si="4">E49</f>
        <v>39</v>
      </c>
    </row>
    <row r="50" spans="1:8" x14ac:dyDescent="0.2">
      <c r="A50" s="189">
        <v>47</v>
      </c>
      <c r="B50" s="253">
        <v>1344490930</v>
      </c>
      <c r="C50" s="243" t="s">
        <v>1020</v>
      </c>
      <c r="D50" s="189">
        <v>10</v>
      </c>
      <c r="E50" s="189">
        <v>10</v>
      </c>
      <c r="F50" s="253">
        <f t="shared" si="0"/>
        <v>0.83333333333333337</v>
      </c>
      <c r="G50" s="189">
        <v>0</v>
      </c>
      <c r="H50" s="189">
        <f t="shared" si="4"/>
        <v>10</v>
      </c>
    </row>
    <row r="51" spans="1:8" s="26" customFormat="1" x14ac:dyDescent="0.2">
      <c r="A51" s="189">
        <v>48</v>
      </c>
      <c r="B51" s="253">
        <v>1344491930</v>
      </c>
      <c r="C51" s="253" t="s">
        <v>1021</v>
      </c>
      <c r="D51" s="189">
        <v>3</v>
      </c>
      <c r="E51" s="189">
        <v>3</v>
      </c>
      <c r="F51" s="253">
        <f t="shared" si="0"/>
        <v>0.25</v>
      </c>
      <c r="G51" s="189">
        <v>0</v>
      </c>
      <c r="H51" s="189">
        <f t="shared" si="4"/>
        <v>3</v>
      </c>
    </row>
    <row r="52" spans="1:8" x14ac:dyDescent="0.2">
      <c r="A52" s="189">
        <v>49</v>
      </c>
      <c r="B52" s="253">
        <v>1344492930</v>
      </c>
      <c r="C52" s="253" t="s">
        <v>88</v>
      </c>
      <c r="D52" s="189">
        <v>69</v>
      </c>
      <c r="E52" s="189">
        <v>69</v>
      </c>
      <c r="F52" s="253">
        <f t="shared" si="0"/>
        <v>5.75</v>
      </c>
      <c r="G52" s="189">
        <v>0</v>
      </c>
      <c r="H52" s="189">
        <f t="shared" si="4"/>
        <v>69</v>
      </c>
    </row>
    <row r="53" spans="1:8" x14ac:dyDescent="0.2">
      <c r="A53" s="189">
        <v>50</v>
      </c>
      <c r="B53" s="253">
        <v>1344493930</v>
      </c>
      <c r="C53" s="253" t="s">
        <v>89</v>
      </c>
      <c r="D53" s="189">
        <v>115</v>
      </c>
      <c r="E53" s="189">
        <v>115</v>
      </c>
      <c r="F53" s="253">
        <f t="shared" si="0"/>
        <v>9.5833333333333339</v>
      </c>
      <c r="G53" s="189">
        <v>0</v>
      </c>
      <c r="H53" s="189">
        <f t="shared" si="4"/>
        <v>115</v>
      </c>
    </row>
    <row r="54" spans="1:8" x14ac:dyDescent="0.2">
      <c r="A54" s="189">
        <v>51</v>
      </c>
      <c r="B54" s="253">
        <v>1344510930</v>
      </c>
      <c r="C54" s="253" t="s">
        <v>90</v>
      </c>
      <c r="D54" s="189">
        <v>186</v>
      </c>
      <c r="E54" s="189">
        <v>186</v>
      </c>
      <c r="F54" s="253">
        <f t="shared" si="0"/>
        <v>15.5</v>
      </c>
      <c r="G54" s="189">
        <v>0</v>
      </c>
      <c r="H54" s="189">
        <f t="shared" si="4"/>
        <v>186</v>
      </c>
    </row>
    <row r="55" spans="1:8" x14ac:dyDescent="0.2">
      <c r="A55" s="189">
        <v>52</v>
      </c>
      <c r="B55" s="253">
        <v>1344511930</v>
      </c>
      <c r="C55" s="253" t="s">
        <v>91</v>
      </c>
      <c r="D55" s="189">
        <v>303</v>
      </c>
      <c r="E55" s="189">
        <v>303</v>
      </c>
      <c r="F55" s="253">
        <f t="shared" si="0"/>
        <v>25.25</v>
      </c>
      <c r="G55" s="189">
        <v>0</v>
      </c>
      <c r="H55" s="189">
        <f t="shared" si="4"/>
        <v>303</v>
      </c>
    </row>
    <row r="56" spans="1:8" x14ac:dyDescent="0.2">
      <c r="A56" s="189">
        <v>53</v>
      </c>
      <c r="B56" s="253">
        <v>1345100930</v>
      </c>
      <c r="C56" s="253" t="s">
        <v>93</v>
      </c>
      <c r="D56" s="189">
        <v>6</v>
      </c>
      <c r="E56" s="189">
        <v>6</v>
      </c>
      <c r="F56" s="253">
        <f t="shared" si="0"/>
        <v>0.5</v>
      </c>
      <c r="G56" s="189">
        <v>0</v>
      </c>
      <c r="H56" s="189">
        <f t="shared" si="4"/>
        <v>6</v>
      </c>
    </row>
    <row r="57" spans="1:8" x14ac:dyDescent="0.2">
      <c r="A57" s="189">
        <v>54</v>
      </c>
      <c r="B57" s="253">
        <v>1345101930</v>
      </c>
      <c r="C57" s="253" t="s">
        <v>1030</v>
      </c>
      <c r="D57" s="189">
        <v>490</v>
      </c>
      <c r="E57" s="189">
        <v>490</v>
      </c>
      <c r="F57" s="253">
        <f t="shared" si="0"/>
        <v>40.833333333333336</v>
      </c>
      <c r="G57" s="189">
        <v>0</v>
      </c>
      <c r="H57" s="189">
        <f t="shared" si="4"/>
        <v>490</v>
      </c>
    </row>
    <row r="58" spans="1:8" x14ac:dyDescent="0.2">
      <c r="A58" s="189">
        <v>55</v>
      </c>
      <c r="B58" s="253">
        <v>1345110930</v>
      </c>
      <c r="C58" s="253" t="s">
        <v>94</v>
      </c>
      <c r="D58" s="189">
        <v>1259</v>
      </c>
      <c r="E58" s="189">
        <v>1259</v>
      </c>
      <c r="F58" s="253">
        <f t="shared" si="0"/>
        <v>104.91666666666667</v>
      </c>
      <c r="G58" s="189">
        <v>127</v>
      </c>
      <c r="H58" s="189">
        <f t="shared" si="4"/>
        <v>1259</v>
      </c>
    </row>
    <row r="59" spans="1:8" x14ac:dyDescent="0.2">
      <c r="A59" s="189">
        <v>56</v>
      </c>
      <c r="B59" s="253">
        <v>1345111930</v>
      </c>
      <c r="C59" s="253" t="s">
        <v>95</v>
      </c>
      <c r="D59" s="189">
        <v>133</v>
      </c>
      <c r="E59" s="189">
        <v>133</v>
      </c>
      <c r="F59" s="253">
        <f t="shared" si="0"/>
        <v>11.083333333333334</v>
      </c>
      <c r="G59" s="189">
        <v>8</v>
      </c>
      <c r="H59" s="189">
        <f t="shared" si="4"/>
        <v>133</v>
      </c>
    </row>
    <row r="60" spans="1:8" x14ac:dyDescent="0.2">
      <c r="A60" s="189">
        <v>57</v>
      </c>
      <c r="B60" s="253">
        <v>1345112930</v>
      </c>
      <c r="C60" s="253" t="s">
        <v>96</v>
      </c>
      <c r="D60" s="189">
        <v>104</v>
      </c>
      <c r="E60" s="189">
        <v>104</v>
      </c>
      <c r="F60" s="253">
        <f t="shared" si="0"/>
        <v>8.6666666666666661</v>
      </c>
      <c r="G60" s="189">
        <v>0</v>
      </c>
      <c r="H60" s="189">
        <f t="shared" si="4"/>
        <v>104</v>
      </c>
    </row>
    <row r="61" spans="1:8" x14ac:dyDescent="0.2">
      <c r="A61" s="189">
        <v>58</v>
      </c>
      <c r="B61" s="253">
        <v>1345120930</v>
      </c>
      <c r="C61" s="253" t="s">
        <v>97</v>
      </c>
      <c r="D61" s="189">
        <v>16</v>
      </c>
      <c r="E61" s="189">
        <v>16</v>
      </c>
      <c r="F61" s="253">
        <f t="shared" si="0"/>
        <v>1.3333333333333333</v>
      </c>
      <c r="G61" s="189">
        <v>0</v>
      </c>
      <c r="H61" s="189">
        <f t="shared" si="4"/>
        <v>16</v>
      </c>
    </row>
    <row r="62" spans="1:8" x14ac:dyDescent="0.2">
      <c r="A62" s="189">
        <v>59</v>
      </c>
      <c r="B62" s="253">
        <v>1345121930</v>
      </c>
      <c r="C62" s="253" t="s">
        <v>98</v>
      </c>
      <c r="D62" s="189">
        <v>42</v>
      </c>
      <c r="E62" s="189">
        <v>42</v>
      </c>
      <c r="F62" s="253">
        <f t="shared" si="0"/>
        <v>3.5</v>
      </c>
      <c r="G62" s="189">
        <v>0</v>
      </c>
      <c r="H62" s="189">
        <f t="shared" si="4"/>
        <v>42</v>
      </c>
    </row>
    <row r="63" spans="1:8" x14ac:dyDescent="0.2">
      <c r="A63" s="189">
        <v>60</v>
      </c>
      <c r="B63" s="253">
        <v>1345130930</v>
      </c>
      <c r="C63" s="253" t="s">
        <v>99</v>
      </c>
      <c r="D63" s="189">
        <v>5274</v>
      </c>
      <c r="E63" s="189">
        <v>5274</v>
      </c>
      <c r="F63" s="253">
        <f t="shared" si="0"/>
        <v>439.5</v>
      </c>
      <c r="G63" s="189">
        <v>454</v>
      </c>
      <c r="H63" s="189">
        <f t="shared" si="4"/>
        <v>5274</v>
      </c>
    </row>
    <row r="64" spans="1:8" x14ac:dyDescent="0.2">
      <c r="A64" s="189">
        <v>61</v>
      </c>
      <c r="B64" s="253">
        <v>1345150930</v>
      </c>
      <c r="C64" s="253" t="s">
        <v>100</v>
      </c>
      <c r="D64" s="189">
        <v>4000</v>
      </c>
      <c r="E64" s="189">
        <v>4000</v>
      </c>
      <c r="F64" s="253">
        <f t="shared" si="0"/>
        <v>333.33333333333331</v>
      </c>
      <c r="G64" s="189">
        <v>662</v>
      </c>
      <c r="H64" s="189">
        <f t="shared" si="4"/>
        <v>4000</v>
      </c>
    </row>
    <row r="65" spans="1:8" x14ac:dyDescent="0.2">
      <c r="A65" s="189">
        <v>62</v>
      </c>
      <c r="B65" s="253">
        <v>1345160930</v>
      </c>
      <c r="C65" s="253" t="s">
        <v>101</v>
      </c>
      <c r="D65" s="189">
        <v>145</v>
      </c>
      <c r="E65" s="189">
        <v>145</v>
      </c>
      <c r="F65" s="253">
        <f t="shared" si="0"/>
        <v>12.083333333333334</v>
      </c>
      <c r="G65" s="189">
        <v>0</v>
      </c>
      <c r="H65" s="189">
        <f t="shared" si="4"/>
        <v>145</v>
      </c>
    </row>
    <row r="66" spans="1:8" x14ac:dyDescent="0.2">
      <c r="A66" s="189">
        <v>63</v>
      </c>
      <c r="B66" s="253">
        <v>1345170930</v>
      </c>
      <c r="C66" s="253" t="s">
        <v>102</v>
      </c>
      <c r="D66" s="189">
        <v>154</v>
      </c>
      <c r="E66" s="189">
        <v>154</v>
      </c>
      <c r="F66" s="253">
        <f t="shared" si="0"/>
        <v>12.833333333333334</v>
      </c>
      <c r="G66" s="189">
        <v>0</v>
      </c>
      <c r="H66" s="189">
        <f t="shared" si="4"/>
        <v>154</v>
      </c>
    </row>
    <row r="67" spans="1:8" x14ac:dyDescent="0.2">
      <c r="A67" s="189">
        <v>64</v>
      </c>
      <c r="B67" s="253">
        <v>1345180930</v>
      </c>
      <c r="C67" s="253" t="s">
        <v>103</v>
      </c>
      <c r="D67" s="189">
        <v>490</v>
      </c>
      <c r="E67" s="189">
        <v>490</v>
      </c>
      <c r="F67" s="253">
        <f t="shared" si="0"/>
        <v>40.833333333333336</v>
      </c>
      <c r="G67" s="189">
        <v>0</v>
      </c>
      <c r="H67" s="189">
        <f t="shared" si="4"/>
        <v>490</v>
      </c>
    </row>
    <row r="68" spans="1:8" x14ac:dyDescent="0.2">
      <c r="A68" s="189">
        <v>65</v>
      </c>
      <c r="B68" s="253">
        <v>1345190930</v>
      </c>
      <c r="C68" s="253" t="s">
        <v>104</v>
      </c>
      <c r="D68" s="189">
        <v>50</v>
      </c>
      <c r="E68" s="189">
        <v>50</v>
      </c>
      <c r="F68" s="253">
        <f t="shared" si="0"/>
        <v>4.166666666666667</v>
      </c>
      <c r="G68" s="189">
        <v>0</v>
      </c>
      <c r="H68" s="189">
        <f t="shared" si="4"/>
        <v>50</v>
      </c>
    </row>
    <row r="69" spans="1:8" x14ac:dyDescent="0.2">
      <c r="A69" s="189">
        <v>66</v>
      </c>
      <c r="B69" s="253">
        <v>1345200930</v>
      </c>
      <c r="C69" s="253" t="s">
        <v>106</v>
      </c>
      <c r="D69" s="189">
        <v>931</v>
      </c>
      <c r="E69" s="189">
        <v>931</v>
      </c>
      <c r="F69" s="253">
        <f t="shared" ref="F69:F116" si="5">E69/12</f>
        <v>77.583333333333329</v>
      </c>
      <c r="G69" s="189">
        <v>87</v>
      </c>
      <c r="H69" s="189">
        <f t="shared" si="4"/>
        <v>931</v>
      </c>
    </row>
    <row r="70" spans="1:8" x14ac:dyDescent="0.2">
      <c r="A70" s="189">
        <v>67</v>
      </c>
      <c r="B70" s="253">
        <v>1345210930</v>
      </c>
      <c r="C70" s="253" t="s">
        <v>107</v>
      </c>
      <c r="D70" s="189">
        <v>4</v>
      </c>
      <c r="E70" s="189">
        <v>4</v>
      </c>
      <c r="F70" s="253">
        <f t="shared" si="5"/>
        <v>0.33333333333333331</v>
      </c>
      <c r="G70" s="189">
        <v>0</v>
      </c>
      <c r="H70" s="189">
        <f>E70</f>
        <v>4</v>
      </c>
    </row>
    <row r="71" spans="1:8" x14ac:dyDescent="0.2">
      <c r="A71" s="189">
        <v>68</v>
      </c>
      <c r="B71" s="253">
        <v>1345220930</v>
      </c>
      <c r="C71" s="253" t="s">
        <v>108</v>
      </c>
      <c r="D71" s="189">
        <v>816</v>
      </c>
      <c r="E71" s="189">
        <v>816</v>
      </c>
      <c r="F71" s="253">
        <f t="shared" si="5"/>
        <v>68</v>
      </c>
      <c r="G71" s="189">
        <v>113</v>
      </c>
      <c r="H71" s="189">
        <f t="shared" si="4"/>
        <v>816</v>
      </c>
    </row>
    <row r="72" spans="1:8" x14ac:dyDescent="0.2">
      <c r="A72" s="189">
        <v>69</v>
      </c>
      <c r="B72" s="253">
        <v>1345230930</v>
      </c>
      <c r="C72" s="253" t="s">
        <v>109</v>
      </c>
      <c r="D72" s="189">
        <v>247</v>
      </c>
      <c r="E72" s="189">
        <v>247</v>
      </c>
      <c r="F72" s="253">
        <f t="shared" si="5"/>
        <v>20.583333333333332</v>
      </c>
      <c r="G72" s="189">
        <v>21</v>
      </c>
      <c r="H72" s="189">
        <f t="shared" si="4"/>
        <v>247</v>
      </c>
    </row>
    <row r="73" spans="1:8" x14ac:dyDescent="0.2">
      <c r="A73" s="189">
        <v>70</v>
      </c>
      <c r="B73" s="253">
        <v>1345320930</v>
      </c>
      <c r="C73" s="253" t="s">
        <v>110</v>
      </c>
      <c r="D73" s="189">
        <v>163</v>
      </c>
      <c r="E73" s="189">
        <v>163</v>
      </c>
      <c r="F73" s="253">
        <f t="shared" si="5"/>
        <v>13.583333333333334</v>
      </c>
      <c r="G73" s="189">
        <v>0</v>
      </c>
      <c r="H73" s="189">
        <f t="shared" si="4"/>
        <v>163</v>
      </c>
    </row>
    <row r="74" spans="1:8" x14ac:dyDescent="0.2">
      <c r="A74" s="189">
        <v>71</v>
      </c>
      <c r="B74" s="253">
        <v>1345340930</v>
      </c>
      <c r="C74" s="253" t="s">
        <v>111</v>
      </c>
      <c r="D74" s="189">
        <v>41</v>
      </c>
      <c r="E74" s="189">
        <v>41</v>
      </c>
      <c r="F74" s="253">
        <f t="shared" si="5"/>
        <v>3.4166666666666665</v>
      </c>
      <c r="G74" s="189">
        <v>0</v>
      </c>
      <c r="H74" s="189">
        <f t="shared" si="4"/>
        <v>41</v>
      </c>
    </row>
    <row r="75" spans="1:8" x14ac:dyDescent="0.2">
      <c r="A75" s="189">
        <v>72</v>
      </c>
      <c r="B75" s="253">
        <v>1345351930</v>
      </c>
      <c r="C75" s="253" t="s">
        <v>1057</v>
      </c>
      <c r="D75" s="189">
        <v>2</v>
      </c>
      <c r="E75" s="189">
        <v>2</v>
      </c>
      <c r="F75" s="253">
        <f t="shared" si="5"/>
        <v>0.16666666666666666</v>
      </c>
      <c r="G75" s="189">
        <v>0</v>
      </c>
      <c r="H75" s="189">
        <f t="shared" si="4"/>
        <v>2</v>
      </c>
    </row>
    <row r="76" spans="1:8" x14ac:dyDescent="0.2">
      <c r="A76" s="189">
        <v>73</v>
      </c>
      <c r="B76" s="253">
        <v>1346300930</v>
      </c>
      <c r="C76" s="253" t="s">
        <v>112</v>
      </c>
      <c r="D76" s="189">
        <v>151</v>
      </c>
      <c r="E76" s="189">
        <v>151</v>
      </c>
      <c r="F76" s="253">
        <f t="shared" si="5"/>
        <v>12.583333333333334</v>
      </c>
      <c r="G76" s="189">
        <v>19</v>
      </c>
      <c r="H76" s="189">
        <v>230</v>
      </c>
    </row>
    <row r="77" spans="1:8" x14ac:dyDescent="0.2">
      <c r="A77" s="189">
        <v>74</v>
      </c>
      <c r="B77" s="253">
        <v>1346500930</v>
      </c>
      <c r="C77" s="253" t="s">
        <v>113</v>
      </c>
      <c r="D77" s="189">
        <v>4651</v>
      </c>
      <c r="E77" s="189">
        <v>4651</v>
      </c>
      <c r="F77" s="253">
        <f t="shared" si="5"/>
        <v>387.58333333333331</v>
      </c>
      <c r="G77" s="189">
        <v>474</v>
      </c>
      <c r="H77" s="189">
        <f>E77</f>
        <v>4651</v>
      </c>
    </row>
    <row r="78" spans="1:8" x14ac:dyDescent="0.2">
      <c r="A78" s="189">
        <v>75</v>
      </c>
      <c r="B78" s="253">
        <v>1346510930</v>
      </c>
      <c r="C78" s="253" t="s">
        <v>114</v>
      </c>
      <c r="D78" s="189">
        <v>210</v>
      </c>
      <c r="E78" s="189">
        <v>210</v>
      </c>
      <c r="F78" s="253">
        <f t="shared" si="5"/>
        <v>17.5</v>
      </c>
      <c r="G78" s="189">
        <v>11</v>
      </c>
      <c r="H78" s="189">
        <f t="shared" ref="H78:H82" si="6">E78</f>
        <v>210</v>
      </c>
    </row>
    <row r="79" spans="1:8" x14ac:dyDescent="0.2">
      <c r="A79" s="189">
        <v>76</v>
      </c>
      <c r="B79" s="253">
        <v>1346610930</v>
      </c>
      <c r="C79" s="253" t="s">
        <v>115</v>
      </c>
      <c r="D79" s="189">
        <v>385</v>
      </c>
      <c r="E79" s="189">
        <v>385</v>
      </c>
      <c r="F79" s="253">
        <f t="shared" si="5"/>
        <v>32.083333333333336</v>
      </c>
      <c r="G79" s="189">
        <v>0</v>
      </c>
      <c r="H79" s="189">
        <f t="shared" si="6"/>
        <v>385</v>
      </c>
    </row>
    <row r="80" spans="1:8" x14ac:dyDescent="0.2">
      <c r="A80" s="189">
        <v>77</v>
      </c>
      <c r="B80" s="253">
        <v>1346620930</v>
      </c>
      <c r="C80" s="253" t="s">
        <v>116</v>
      </c>
      <c r="D80" s="189">
        <v>358</v>
      </c>
      <c r="E80" s="189">
        <v>358</v>
      </c>
      <c r="F80" s="253">
        <f t="shared" si="5"/>
        <v>29.833333333333332</v>
      </c>
      <c r="G80" s="189">
        <v>92</v>
      </c>
      <c r="H80" s="189">
        <f t="shared" si="6"/>
        <v>358</v>
      </c>
    </row>
    <row r="81" spans="1:8" x14ac:dyDescent="0.2">
      <c r="A81" s="189">
        <v>78</v>
      </c>
      <c r="B81" s="253">
        <v>1346631930</v>
      </c>
      <c r="C81" s="253" t="s">
        <v>858</v>
      </c>
      <c r="D81" s="189">
        <v>200</v>
      </c>
      <c r="E81" s="189">
        <v>200</v>
      </c>
      <c r="F81" s="253">
        <f t="shared" si="5"/>
        <v>16.666666666666668</v>
      </c>
      <c r="G81" s="189">
        <v>0</v>
      </c>
      <c r="H81" s="189">
        <f t="shared" si="6"/>
        <v>200</v>
      </c>
    </row>
    <row r="82" spans="1:8" x14ac:dyDescent="0.2">
      <c r="A82" s="189">
        <v>79</v>
      </c>
      <c r="B82" s="253">
        <v>1346710930</v>
      </c>
      <c r="C82" s="253" t="s">
        <v>117</v>
      </c>
      <c r="D82" s="189">
        <v>2</v>
      </c>
      <c r="E82" s="189">
        <v>2</v>
      </c>
      <c r="F82" s="253">
        <f t="shared" si="5"/>
        <v>0.16666666666666666</v>
      </c>
      <c r="G82" s="189">
        <v>0</v>
      </c>
      <c r="H82" s="189">
        <f t="shared" si="6"/>
        <v>2</v>
      </c>
    </row>
    <row r="83" spans="1:8" x14ac:dyDescent="0.2">
      <c r="A83" s="189">
        <v>80</v>
      </c>
      <c r="B83" s="253">
        <v>1346711930</v>
      </c>
      <c r="C83" s="253" t="s">
        <v>118</v>
      </c>
      <c r="D83" s="189">
        <v>90</v>
      </c>
      <c r="E83" s="189">
        <v>90</v>
      </c>
      <c r="F83" s="253">
        <f t="shared" si="5"/>
        <v>7.5</v>
      </c>
      <c r="G83" s="189">
        <v>0</v>
      </c>
      <c r="H83" s="189">
        <v>193</v>
      </c>
    </row>
    <row r="84" spans="1:8" x14ac:dyDescent="0.2">
      <c r="A84" s="189">
        <v>81</v>
      </c>
      <c r="B84" s="253">
        <v>1346712930</v>
      </c>
      <c r="C84" s="253" t="s">
        <v>119</v>
      </c>
      <c r="D84" s="189">
        <v>43</v>
      </c>
      <c r="E84" s="189">
        <v>43</v>
      </c>
      <c r="F84" s="253">
        <f t="shared" si="5"/>
        <v>3.5833333333333335</v>
      </c>
      <c r="G84" s="189">
        <v>0</v>
      </c>
      <c r="H84" s="189">
        <f>E84</f>
        <v>43</v>
      </c>
    </row>
    <row r="85" spans="1:8" x14ac:dyDescent="0.2">
      <c r="A85" s="189">
        <v>82</v>
      </c>
      <c r="B85" s="253">
        <v>1346730930</v>
      </c>
      <c r="C85" s="253" t="s">
        <v>120</v>
      </c>
      <c r="D85" s="189">
        <v>96</v>
      </c>
      <c r="E85" s="189">
        <v>96</v>
      </c>
      <c r="F85" s="253">
        <f t="shared" si="5"/>
        <v>8</v>
      </c>
      <c r="G85" s="189">
        <v>0</v>
      </c>
      <c r="H85" s="189">
        <f t="shared" ref="H85:H88" si="7">E85</f>
        <v>96</v>
      </c>
    </row>
    <row r="86" spans="1:8" x14ac:dyDescent="0.2">
      <c r="A86" s="189">
        <v>83</v>
      </c>
      <c r="B86" s="253">
        <v>1346750930</v>
      </c>
      <c r="C86" s="253" t="s">
        <v>121</v>
      </c>
      <c r="D86" s="189">
        <v>95</v>
      </c>
      <c r="E86" s="189">
        <v>95</v>
      </c>
      <c r="F86" s="253">
        <f t="shared" si="5"/>
        <v>7.916666666666667</v>
      </c>
      <c r="G86" s="189">
        <v>0</v>
      </c>
      <c r="H86" s="189">
        <f t="shared" si="7"/>
        <v>95</v>
      </c>
    </row>
    <row r="87" spans="1:8" x14ac:dyDescent="0.2">
      <c r="A87" s="189">
        <v>84</v>
      </c>
      <c r="B87" s="253">
        <v>1346760930</v>
      </c>
      <c r="C87" s="253" t="s">
        <v>122</v>
      </c>
      <c r="D87" s="189">
        <v>165</v>
      </c>
      <c r="E87" s="189">
        <v>165</v>
      </c>
      <c r="F87" s="253">
        <f t="shared" si="5"/>
        <v>13.75</v>
      </c>
      <c r="G87" s="189">
        <v>0</v>
      </c>
      <c r="H87" s="189">
        <f t="shared" si="7"/>
        <v>165</v>
      </c>
    </row>
    <row r="88" spans="1:8" x14ac:dyDescent="0.2">
      <c r="A88" s="189">
        <v>85</v>
      </c>
      <c r="B88" s="253">
        <v>1346761930</v>
      </c>
      <c r="C88" s="253" t="s">
        <v>123</v>
      </c>
      <c r="D88" s="189">
        <v>206</v>
      </c>
      <c r="E88" s="189">
        <v>206</v>
      </c>
      <c r="F88" s="253">
        <f t="shared" si="5"/>
        <v>17.166666666666668</v>
      </c>
      <c r="G88" s="189">
        <v>0</v>
      </c>
      <c r="H88" s="189">
        <f t="shared" si="7"/>
        <v>206</v>
      </c>
    </row>
    <row r="89" spans="1:8" x14ac:dyDescent="0.2">
      <c r="A89" s="189">
        <v>86</v>
      </c>
      <c r="B89" s="253">
        <v>1346790930</v>
      </c>
      <c r="C89" s="253" t="s">
        <v>124</v>
      </c>
      <c r="D89" s="189">
        <v>120</v>
      </c>
      <c r="E89" s="189">
        <v>120</v>
      </c>
      <c r="F89" s="253">
        <f t="shared" si="5"/>
        <v>10</v>
      </c>
      <c r="G89" s="189">
        <v>0</v>
      </c>
      <c r="H89" s="189">
        <v>440</v>
      </c>
    </row>
    <row r="90" spans="1:8" x14ac:dyDescent="0.2">
      <c r="A90" s="189">
        <v>87</v>
      </c>
      <c r="B90" s="253">
        <v>1346820930</v>
      </c>
      <c r="C90" s="253" t="s">
        <v>125</v>
      </c>
      <c r="D90" s="189">
        <v>12</v>
      </c>
      <c r="E90" s="189">
        <v>12</v>
      </c>
      <c r="F90" s="253">
        <f t="shared" si="5"/>
        <v>1</v>
      </c>
      <c r="G90" s="189">
        <v>0</v>
      </c>
      <c r="H90" s="189">
        <f>E90</f>
        <v>12</v>
      </c>
    </row>
    <row r="91" spans="1:8" x14ac:dyDescent="0.2">
      <c r="A91" s="189">
        <v>88</v>
      </c>
      <c r="B91" s="253">
        <v>1346840930</v>
      </c>
      <c r="C91" s="253" t="s">
        <v>720</v>
      </c>
      <c r="D91" s="189">
        <v>435</v>
      </c>
      <c r="E91" s="189">
        <v>435</v>
      </c>
      <c r="F91" s="253">
        <f t="shared" si="5"/>
        <v>36.25</v>
      </c>
      <c r="G91" s="189">
        <v>0</v>
      </c>
      <c r="H91" s="189">
        <f t="shared" ref="H91:H92" si="8">E91</f>
        <v>435</v>
      </c>
    </row>
    <row r="92" spans="1:8" x14ac:dyDescent="0.2">
      <c r="A92" s="189">
        <v>89</v>
      </c>
      <c r="B92" s="253">
        <v>1347100930</v>
      </c>
      <c r="C92" s="253" t="s">
        <v>127</v>
      </c>
      <c r="D92" s="189">
        <v>213</v>
      </c>
      <c r="E92" s="189">
        <v>213</v>
      </c>
      <c r="F92" s="253">
        <f t="shared" si="5"/>
        <v>17.75</v>
      </c>
      <c r="G92" s="189">
        <v>0</v>
      </c>
      <c r="H92" s="189">
        <f t="shared" si="8"/>
        <v>213</v>
      </c>
    </row>
    <row r="93" spans="1:8" x14ac:dyDescent="0.2">
      <c r="A93" s="189">
        <v>90</v>
      </c>
      <c r="B93" s="253">
        <v>1347130930</v>
      </c>
      <c r="C93" s="253" t="s">
        <v>129</v>
      </c>
      <c r="D93" s="189">
        <v>11</v>
      </c>
      <c r="E93" s="189">
        <v>11</v>
      </c>
      <c r="F93" s="253">
        <f t="shared" si="5"/>
        <v>0.91666666666666663</v>
      </c>
      <c r="G93" s="189">
        <v>0</v>
      </c>
      <c r="H93" s="189">
        <v>318</v>
      </c>
    </row>
    <row r="94" spans="1:8" x14ac:dyDescent="0.2">
      <c r="A94" s="189">
        <v>91</v>
      </c>
      <c r="B94" s="253">
        <v>1347140930</v>
      </c>
      <c r="C94" s="253" t="s">
        <v>130</v>
      </c>
      <c r="D94" s="189">
        <v>346</v>
      </c>
      <c r="E94" s="189">
        <v>346</v>
      </c>
      <c r="F94" s="253">
        <f t="shared" si="5"/>
        <v>28.833333333333332</v>
      </c>
      <c r="G94" s="189">
        <v>0</v>
      </c>
      <c r="H94" s="189">
        <f>E94</f>
        <v>346</v>
      </c>
    </row>
    <row r="95" spans="1:8" x14ac:dyDescent="0.2">
      <c r="A95" s="189">
        <v>92</v>
      </c>
      <c r="B95" s="189">
        <v>1347160930</v>
      </c>
      <c r="C95" s="243" t="s">
        <v>1031</v>
      </c>
      <c r="D95" s="189">
        <v>13</v>
      </c>
      <c r="E95" s="189">
        <v>13</v>
      </c>
      <c r="F95" s="253">
        <f t="shared" si="5"/>
        <v>1.0833333333333333</v>
      </c>
      <c r="G95" s="189">
        <v>0</v>
      </c>
      <c r="H95" s="189">
        <f t="shared" ref="H95:H104" si="9">E95</f>
        <v>13</v>
      </c>
    </row>
    <row r="96" spans="1:8" x14ac:dyDescent="0.2">
      <c r="A96" s="189">
        <v>93</v>
      </c>
      <c r="B96" s="253">
        <v>1347180930</v>
      </c>
      <c r="C96" s="253" t="s">
        <v>715</v>
      </c>
      <c r="D96" s="189">
        <v>58</v>
      </c>
      <c r="E96" s="189">
        <v>58</v>
      </c>
      <c r="F96" s="253">
        <f t="shared" si="5"/>
        <v>4.833333333333333</v>
      </c>
      <c r="G96" s="189">
        <v>0</v>
      </c>
      <c r="H96" s="189">
        <f t="shared" si="9"/>
        <v>58</v>
      </c>
    </row>
    <row r="97" spans="1:8" s="26" customFormat="1" x14ac:dyDescent="0.2">
      <c r="A97" s="189">
        <v>94</v>
      </c>
      <c r="B97" s="253">
        <v>1347200930</v>
      </c>
      <c r="C97" s="253" t="s">
        <v>841</v>
      </c>
      <c r="D97" s="189">
        <v>216</v>
      </c>
      <c r="E97" s="189">
        <v>216</v>
      </c>
      <c r="F97" s="253">
        <f t="shared" si="5"/>
        <v>18</v>
      </c>
      <c r="G97" s="189">
        <v>4</v>
      </c>
      <c r="H97" s="189">
        <f t="shared" si="9"/>
        <v>216</v>
      </c>
    </row>
    <row r="98" spans="1:8" s="26" customFormat="1" x14ac:dyDescent="0.2">
      <c r="A98" s="189">
        <v>95</v>
      </c>
      <c r="B98" s="253">
        <v>1347210930</v>
      </c>
      <c r="C98" s="253" t="s">
        <v>1056</v>
      </c>
      <c r="D98" s="189">
        <v>97</v>
      </c>
      <c r="E98" s="189">
        <v>97</v>
      </c>
      <c r="F98" s="253">
        <f t="shared" si="5"/>
        <v>8.0833333333333339</v>
      </c>
      <c r="G98" s="189">
        <v>6</v>
      </c>
      <c r="H98" s="189">
        <f t="shared" si="9"/>
        <v>97</v>
      </c>
    </row>
    <row r="99" spans="1:8" x14ac:dyDescent="0.2">
      <c r="A99" s="189">
        <v>96</v>
      </c>
      <c r="B99" s="253">
        <v>1347310930</v>
      </c>
      <c r="C99" s="253" t="s">
        <v>131</v>
      </c>
      <c r="D99" s="189">
        <v>9</v>
      </c>
      <c r="E99" s="189">
        <v>9</v>
      </c>
      <c r="F99" s="253">
        <f t="shared" si="5"/>
        <v>0.75</v>
      </c>
      <c r="G99" s="189">
        <v>0</v>
      </c>
      <c r="H99" s="189">
        <f t="shared" si="9"/>
        <v>9</v>
      </c>
    </row>
    <row r="100" spans="1:8" x14ac:dyDescent="0.2">
      <c r="A100" s="189">
        <v>97</v>
      </c>
      <c r="B100" s="253">
        <v>1347312930</v>
      </c>
      <c r="C100" s="253" t="s">
        <v>860</v>
      </c>
      <c r="D100" s="189">
        <v>36</v>
      </c>
      <c r="E100" s="189">
        <v>36</v>
      </c>
      <c r="F100" s="253">
        <f t="shared" si="5"/>
        <v>3</v>
      </c>
      <c r="G100" s="189">
        <v>2</v>
      </c>
      <c r="H100" s="189">
        <f t="shared" si="9"/>
        <v>36</v>
      </c>
    </row>
    <row r="101" spans="1:8" s="26" customFormat="1" x14ac:dyDescent="0.2">
      <c r="A101" s="189">
        <v>98</v>
      </c>
      <c r="B101" s="253">
        <v>1347323930</v>
      </c>
      <c r="C101" s="253" t="s">
        <v>861</v>
      </c>
      <c r="D101" s="189">
        <v>27</v>
      </c>
      <c r="E101" s="189">
        <v>27</v>
      </c>
      <c r="F101" s="253">
        <f t="shared" si="5"/>
        <v>2.25</v>
      </c>
      <c r="G101" s="189">
        <v>0</v>
      </c>
      <c r="H101" s="189">
        <f t="shared" si="9"/>
        <v>27</v>
      </c>
    </row>
    <row r="102" spans="1:8" x14ac:dyDescent="0.2">
      <c r="A102" s="189">
        <v>99</v>
      </c>
      <c r="B102" s="253">
        <v>1347340930</v>
      </c>
      <c r="C102" s="253" t="s">
        <v>132</v>
      </c>
      <c r="D102" s="189">
        <v>272</v>
      </c>
      <c r="E102" s="189">
        <v>272</v>
      </c>
      <c r="F102" s="253">
        <f t="shared" si="5"/>
        <v>22.666666666666668</v>
      </c>
      <c r="G102" s="189">
        <v>0</v>
      </c>
      <c r="H102" s="189">
        <f t="shared" si="9"/>
        <v>272</v>
      </c>
    </row>
    <row r="103" spans="1:8" x14ac:dyDescent="0.2">
      <c r="A103" s="189">
        <v>100</v>
      </c>
      <c r="B103" s="253">
        <v>1348210930</v>
      </c>
      <c r="C103" s="253" t="s">
        <v>586</v>
      </c>
      <c r="D103" s="189">
        <v>224</v>
      </c>
      <c r="E103" s="189">
        <v>224</v>
      </c>
      <c r="F103" s="253">
        <f t="shared" si="5"/>
        <v>18.666666666666668</v>
      </c>
      <c r="G103" s="189">
        <v>0</v>
      </c>
      <c r="H103" s="189">
        <f t="shared" si="9"/>
        <v>224</v>
      </c>
    </row>
    <row r="104" spans="1:8" x14ac:dyDescent="0.2">
      <c r="A104" s="189">
        <v>101</v>
      </c>
      <c r="B104" s="253">
        <v>1348211930</v>
      </c>
      <c r="C104" s="253" t="s">
        <v>133</v>
      </c>
      <c r="D104" s="189">
        <v>3</v>
      </c>
      <c r="E104" s="189">
        <v>3</v>
      </c>
      <c r="F104" s="253">
        <f t="shared" si="5"/>
        <v>0.25</v>
      </c>
      <c r="G104" s="189">
        <v>0</v>
      </c>
      <c r="H104" s="189">
        <f t="shared" si="9"/>
        <v>3</v>
      </c>
    </row>
    <row r="105" spans="1:8" x14ac:dyDescent="0.2">
      <c r="A105" s="189">
        <v>102</v>
      </c>
      <c r="B105" s="253">
        <v>1348300930</v>
      </c>
      <c r="C105" s="253" t="s">
        <v>134</v>
      </c>
      <c r="D105" s="189">
        <v>21</v>
      </c>
      <c r="E105" s="189">
        <v>21</v>
      </c>
      <c r="F105" s="253">
        <f t="shared" si="5"/>
        <v>1.75</v>
      </c>
      <c r="G105" s="189">
        <v>0</v>
      </c>
      <c r="H105" s="189">
        <v>10</v>
      </c>
    </row>
    <row r="106" spans="1:8" x14ac:dyDescent="0.2">
      <c r="A106" s="189">
        <v>103</v>
      </c>
      <c r="B106" s="253">
        <v>1348312930</v>
      </c>
      <c r="C106" s="253" t="s">
        <v>135</v>
      </c>
      <c r="D106" s="189">
        <v>1</v>
      </c>
      <c r="E106" s="189">
        <v>1</v>
      </c>
      <c r="F106" s="253">
        <f t="shared" si="5"/>
        <v>8.3333333333333329E-2</v>
      </c>
      <c r="G106" s="189">
        <v>0</v>
      </c>
      <c r="H106" s="189">
        <v>4</v>
      </c>
    </row>
    <row r="107" spans="1:8" x14ac:dyDescent="0.2">
      <c r="A107" s="189">
        <v>104</v>
      </c>
      <c r="B107" s="253">
        <v>1349020930</v>
      </c>
      <c r="C107" s="253" t="s">
        <v>1022</v>
      </c>
      <c r="D107" s="189">
        <v>5</v>
      </c>
      <c r="E107" s="189">
        <v>5</v>
      </c>
      <c r="F107" s="253">
        <f t="shared" si="5"/>
        <v>0.41666666666666669</v>
      </c>
      <c r="G107" s="189">
        <v>0</v>
      </c>
      <c r="H107" s="189">
        <f>E107</f>
        <v>5</v>
      </c>
    </row>
    <row r="108" spans="1:8" x14ac:dyDescent="0.2">
      <c r="A108" s="189">
        <v>105</v>
      </c>
      <c r="B108" s="253">
        <v>1349030930</v>
      </c>
      <c r="C108" s="253" t="s">
        <v>136</v>
      </c>
      <c r="D108" s="189">
        <v>47</v>
      </c>
      <c r="E108" s="189">
        <v>47</v>
      </c>
      <c r="F108" s="253">
        <f t="shared" si="5"/>
        <v>3.9166666666666665</v>
      </c>
      <c r="G108" s="189">
        <v>0</v>
      </c>
      <c r="H108" s="189">
        <f t="shared" ref="H108:H109" si="10">E108</f>
        <v>47</v>
      </c>
    </row>
    <row r="109" spans="1:8" x14ac:dyDescent="0.2">
      <c r="A109" s="189">
        <v>106</v>
      </c>
      <c r="B109" s="253">
        <v>1349040930</v>
      </c>
      <c r="C109" s="243" t="s">
        <v>1023</v>
      </c>
      <c r="D109" s="189">
        <v>19</v>
      </c>
      <c r="E109" s="189">
        <v>19</v>
      </c>
      <c r="F109" s="253">
        <f t="shared" si="5"/>
        <v>1.5833333333333333</v>
      </c>
      <c r="G109" s="189">
        <v>0</v>
      </c>
      <c r="H109" s="189">
        <f t="shared" si="10"/>
        <v>19</v>
      </c>
    </row>
    <row r="110" spans="1:8" x14ac:dyDescent="0.2">
      <c r="A110" s="189">
        <v>107</v>
      </c>
      <c r="B110" s="253">
        <v>1349050930</v>
      </c>
      <c r="C110" s="253" t="s">
        <v>137</v>
      </c>
      <c r="D110" s="189">
        <v>21</v>
      </c>
      <c r="E110" s="189">
        <v>21</v>
      </c>
      <c r="F110" s="253">
        <f t="shared" si="5"/>
        <v>1.75</v>
      </c>
      <c r="G110" s="189">
        <v>1</v>
      </c>
      <c r="H110" s="189">
        <v>20</v>
      </c>
    </row>
    <row r="111" spans="1:8" x14ac:dyDescent="0.2">
      <c r="A111" s="189">
        <v>108</v>
      </c>
      <c r="B111" s="253">
        <v>1349051930</v>
      </c>
      <c r="C111" s="253" t="s">
        <v>138</v>
      </c>
      <c r="D111" s="189">
        <v>40</v>
      </c>
      <c r="E111" s="189">
        <v>40</v>
      </c>
      <c r="F111" s="253">
        <f t="shared" si="5"/>
        <v>3.3333333333333335</v>
      </c>
      <c r="G111" s="189">
        <v>0</v>
      </c>
      <c r="H111" s="189">
        <v>3</v>
      </c>
    </row>
    <row r="112" spans="1:8" x14ac:dyDescent="0.2">
      <c r="A112" s="189">
        <v>109</v>
      </c>
      <c r="B112" s="253">
        <v>1349060930</v>
      </c>
      <c r="C112" s="250" t="s">
        <v>139</v>
      </c>
      <c r="D112" s="189">
        <v>34</v>
      </c>
      <c r="E112" s="189">
        <v>33</v>
      </c>
      <c r="F112" s="253">
        <f t="shared" si="5"/>
        <v>2.75</v>
      </c>
      <c r="G112" s="189">
        <v>0</v>
      </c>
      <c r="H112" s="189">
        <f>E112</f>
        <v>33</v>
      </c>
    </row>
    <row r="113" spans="1:8" x14ac:dyDescent="0.2">
      <c r="A113" s="189">
        <v>110</v>
      </c>
      <c r="B113" s="253">
        <v>1349080930</v>
      </c>
      <c r="C113" s="253" t="s">
        <v>140</v>
      </c>
      <c r="D113" s="189">
        <v>11</v>
      </c>
      <c r="E113" s="189">
        <v>11</v>
      </c>
      <c r="F113" s="253">
        <f t="shared" si="5"/>
        <v>0.91666666666666663</v>
      </c>
      <c r="G113" s="189">
        <v>0</v>
      </c>
      <c r="H113" s="189">
        <f t="shared" ref="H113:H116" si="11">E113</f>
        <v>11</v>
      </c>
    </row>
    <row r="114" spans="1:8" x14ac:dyDescent="0.2">
      <c r="A114" s="189">
        <v>111</v>
      </c>
      <c r="B114" s="253">
        <v>1349090930</v>
      </c>
      <c r="C114" s="253" t="s">
        <v>141</v>
      </c>
      <c r="D114" s="189">
        <v>126</v>
      </c>
      <c r="E114" s="189">
        <v>126</v>
      </c>
      <c r="F114" s="253">
        <f t="shared" si="5"/>
        <v>10.5</v>
      </c>
      <c r="G114" s="189">
        <v>0</v>
      </c>
      <c r="H114" s="189">
        <f t="shared" si="11"/>
        <v>126</v>
      </c>
    </row>
    <row r="115" spans="1:8" x14ac:dyDescent="0.2">
      <c r="A115" s="189">
        <v>112</v>
      </c>
      <c r="B115" s="253">
        <v>1349110930</v>
      </c>
      <c r="C115" s="253" t="s">
        <v>142</v>
      </c>
      <c r="D115" s="189">
        <v>2</v>
      </c>
      <c r="E115" s="189">
        <v>2</v>
      </c>
      <c r="F115" s="253">
        <f t="shared" si="5"/>
        <v>0.16666666666666666</v>
      </c>
      <c r="G115" s="189">
        <v>0</v>
      </c>
      <c r="H115" s="189">
        <f t="shared" si="11"/>
        <v>2</v>
      </c>
    </row>
    <row r="116" spans="1:8" x14ac:dyDescent="0.2">
      <c r="A116" s="189">
        <v>113</v>
      </c>
      <c r="B116" s="253">
        <v>1349130930</v>
      </c>
      <c r="C116" s="253" t="s">
        <v>721</v>
      </c>
      <c r="D116" s="189">
        <v>20</v>
      </c>
      <c r="E116" s="189">
        <v>20</v>
      </c>
      <c r="F116" s="253">
        <f t="shared" si="5"/>
        <v>1.6666666666666667</v>
      </c>
      <c r="G116" s="189">
        <v>0</v>
      </c>
      <c r="H116" s="189">
        <f t="shared" si="11"/>
        <v>20</v>
      </c>
    </row>
    <row r="117" spans="1:8" ht="15" x14ac:dyDescent="0.25">
      <c r="A117" s="338"/>
      <c r="B117" s="416" t="s">
        <v>427</v>
      </c>
      <c r="C117" s="416"/>
      <c r="D117" s="348">
        <f>SUM(D4:D116)</f>
        <v>49368</v>
      </c>
      <c r="E117" s="348">
        <f>SUM(E4:E116)</f>
        <v>49289</v>
      </c>
      <c r="F117" s="348">
        <f>SUM(F4:F116)</f>
        <v>4107.4166666666688</v>
      </c>
      <c r="G117" s="348">
        <f>SUM(G4:G116)</f>
        <v>3905</v>
      </c>
      <c r="H117" s="348">
        <f>SUM(H4:H116)</f>
        <v>49362</v>
      </c>
    </row>
    <row r="118" spans="1:8" ht="17.45" customHeight="1" x14ac:dyDescent="0.35">
      <c r="B118" s="21"/>
      <c r="C118" s="21"/>
      <c r="D118" s="420"/>
      <c r="E118" s="420"/>
      <c r="F118" s="420"/>
      <c r="G118" s="420"/>
      <c r="H118" s="420"/>
    </row>
    <row r="119" spans="1:8" ht="24.6" customHeight="1" x14ac:dyDescent="0.35">
      <c r="A119" s="420" t="s">
        <v>426</v>
      </c>
      <c r="B119" s="420"/>
      <c r="C119" s="420"/>
      <c r="D119" s="420"/>
      <c r="E119" s="420"/>
    </row>
    <row r="121" spans="1:8" s="124" customFormat="1" ht="47.25" x14ac:dyDescent="0.2">
      <c r="A121" s="123" t="s">
        <v>596</v>
      </c>
      <c r="B121" s="128" t="s">
        <v>0</v>
      </c>
      <c r="C121" s="123" t="s">
        <v>1</v>
      </c>
      <c r="D121" s="113" t="s">
        <v>1159</v>
      </c>
      <c r="E121" s="113" t="s">
        <v>1156</v>
      </c>
      <c r="F121" s="175" t="s">
        <v>1160</v>
      </c>
      <c r="G121" s="175" t="s">
        <v>1161</v>
      </c>
      <c r="H121" s="175" t="s">
        <v>1162</v>
      </c>
    </row>
    <row r="122" spans="1:8" ht="13.5" customHeight="1" x14ac:dyDescent="0.2">
      <c r="A122" s="3">
        <v>1</v>
      </c>
      <c r="B122" s="19">
        <v>1342200610</v>
      </c>
      <c r="C122" s="3" t="s">
        <v>699</v>
      </c>
      <c r="D122" s="3">
        <v>28</v>
      </c>
      <c r="E122" s="3">
        <v>30</v>
      </c>
      <c r="F122" s="31">
        <f>E122/12</f>
        <v>2.5</v>
      </c>
      <c r="G122" s="3">
        <v>3</v>
      </c>
      <c r="H122" s="3">
        <f>E122</f>
        <v>30</v>
      </c>
    </row>
    <row r="123" spans="1:8" ht="13.5" customHeight="1" x14ac:dyDescent="0.2">
      <c r="A123" s="3">
        <v>2</v>
      </c>
      <c r="B123" s="19">
        <v>1342500420</v>
      </c>
      <c r="C123" s="3" t="s">
        <v>68</v>
      </c>
      <c r="D123" s="3">
        <v>400</v>
      </c>
      <c r="E123" s="3">
        <v>400</v>
      </c>
      <c r="F123" s="31">
        <f t="shared" ref="F123:F129" si="12">E123/12</f>
        <v>33.333333333333336</v>
      </c>
      <c r="G123" s="3">
        <v>39</v>
      </c>
      <c r="H123" s="3">
        <f t="shared" ref="H123:H129" si="13">E123</f>
        <v>400</v>
      </c>
    </row>
    <row r="124" spans="1:8" x14ac:dyDescent="0.2">
      <c r="A124" s="3">
        <v>3</v>
      </c>
      <c r="B124" s="19">
        <v>1342510420</v>
      </c>
      <c r="C124" s="3" t="s">
        <v>69</v>
      </c>
      <c r="D124" s="3">
        <v>750</v>
      </c>
      <c r="E124" s="3">
        <v>750</v>
      </c>
      <c r="F124" s="31">
        <f t="shared" si="12"/>
        <v>62.5</v>
      </c>
      <c r="G124" s="3">
        <v>58</v>
      </c>
      <c r="H124" s="3">
        <f t="shared" si="13"/>
        <v>750</v>
      </c>
    </row>
    <row r="125" spans="1:8" hidden="1" x14ac:dyDescent="0.2">
      <c r="A125" s="3">
        <v>4</v>
      </c>
      <c r="B125" s="19">
        <v>1342521420</v>
      </c>
      <c r="C125" s="3" t="s">
        <v>698</v>
      </c>
      <c r="D125" s="3"/>
      <c r="E125" s="3"/>
      <c r="F125" s="31">
        <f t="shared" si="12"/>
        <v>0</v>
      </c>
      <c r="G125" s="3"/>
      <c r="H125" s="3">
        <f t="shared" si="13"/>
        <v>0</v>
      </c>
    </row>
    <row r="126" spans="1:8" ht="13.15" customHeight="1" x14ac:dyDescent="0.2">
      <c r="A126" s="3">
        <v>4</v>
      </c>
      <c r="B126" s="19">
        <v>1345100420</v>
      </c>
      <c r="C126" s="3" t="s">
        <v>92</v>
      </c>
      <c r="D126" s="3">
        <v>20</v>
      </c>
      <c r="E126" s="3">
        <v>20</v>
      </c>
      <c r="F126" s="31">
        <f t="shared" si="12"/>
        <v>1.6666666666666667</v>
      </c>
      <c r="G126" s="3">
        <v>2</v>
      </c>
      <c r="H126" s="3">
        <f t="shared" si="13"/>
        <v>20</v>
      </c>
    </row>
    <row r="127" spans="1:8" x14ac:dyDescent="0.2">
      <c r="A127" s="3">
        <v>5</v>
      </c>
      <c r="B127" s="149">
        <v>1345200420</v>
      </c>
      <c r="C127" s="3" t="s">
        <v>105</v>
      </c>
      <c r="D127" s="3">
        <v>5</v>
      </c>
      <c r="E127" s="3">
        <v>5</v>
      </c>
      <c r="F127" s="31">
        <f t="shared" si="12"/>
        <v>0.41666666666666669</v>
      </c>
      <c r="G127" s="3">
        <v>0</v>
      </c>
      <c r="H127" s="3">
        <f t="shared" si="13"/>
        <v>5</v>
      </c>
    </row>
    <row r="128" spans="1:8" hidden="1" x14ac:dyDescent="0.2">
      <c r="A128" s="3">
        <v>7</v>
      </c>
      <c r="B128">
        <v>1342521420</v>
      </c>
      <c r="C128" s="3" t="s">
        <v>70</v>
      </c>
      <c r="D128" s="3"/>
      <c r="E128" s="3"/>
      <c r="F128" s="31">
        <f t="shared" si="12"/>
        <v>0</v>
      </c>
      <c r="G128" s="3"/>
      <c r="H128" s="3">
        <f t="shared" si="13"/>
        <v>0</v>
      </c>
    </row>
    <row r="129" spans="1:8" x14ac:dyDescent="0.2">
      <c r="A129" s="3">
        <v>6</v>
      </c>
      <c r="B129">
        <v>1342522420</v>
      </c>
      <c r="C129" s="3" t="s">
        <v>1082</v>
      </c>
      <c r="D129" s="3">
        <v>17</v>
      </c>
      <c r="E129" s="3">
        <v>17</v>
      </c>
      <c r="F129" s="31">
        <f t="shared" si="12"/>
        <v>1.4166666666666667</v>
      </c>
      <c r="G129" s="3">
        <v>0</v>
      </c>
      <c r="H129" s="3">
        <f t="shared" si="13"/>
        <v>17</v>
      </c>
    </row>
    <row r="130" spans="1:8" ht="15" x14ac:dyDescent="0.25">
      <c r="A130" s="74"/>
      <c r="B130" s="417" t="s">
        <v>427</v>
      </c>
      <c r="C130" s="417"/>
      <c r="D130" s="103">
        <f>SUM(D122:D129)</f>
        <v>1220</v>
      </c>
      <c r="E130" s="103">
        <f>SUM(E122:E129)</f>
        <v>1222</v>
      </c>
      <c r="F130" s="103">
        <f>SUM(F122:F129)</f>
        <v>101.83333333333336</v>
      </c>
      <c r="G130" s="103">
        <f>SUM(G122:G129)</f>
        <v>102</v>
      </c>
      <c r="H130" s="103">
        <f>SUM(H122:H129)</f>
        <v>1222</v>
      </c>
    </row>
  </sheetData>
  <dataConsolidate/>
  <mergeCells count="5">
    <mergeCell ref="B117:C117"/>
    <mergeCell ref="B130:C130"/>
    <mergeCell ref="A119:E119"/>
    <mergeCell ref="D118:H118"/>
    <mergeCell ref="A1:H1"/>
  </mergeCells>
  <pageMargins left="0.70866141732283472" right="0.70866141732283472" top="0.55118110236220474" bottom="0.35433070866141736" header="0.31496062992125984" footer="0.31496062992125984"/>
  <pageSetup paperSize="9" scale="63" firstPageNumber="5" fitToHeight="0" orientation="portrait" useFirstPageNumber="1" r:id="rId1"/>
  <headerFooter>
    <oddFooter>עמוד &amp;P</oddFooter>
  </headerFooter>
  <rowBreaks count="2" manualBreakCount="2">
    <brk id="45" max="7" man="1"/>
    <brk id="13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E1C1-93BA-4B9E-8194-2115289202B0}">
  <sheetPr codeName="גיליון9">
    <pageSetUpPr fitToPage="1"/>
  </sheetPr>
  <dimension ref="A2:H143"/>
  <sheetViews>
    <sheetView rightToLeft="1" topLeftCell="A121" zoomScale="106" zoomScaleNormal="106" zoomScaleSheetLayoutView="63" workbookViewId="0">
      <selection activeCell="D147" sqref="D147"/>
    </sheetView>
  </sheetViews>
  <sheetFormatPr defaultRowHeight="14.25" x14ac:dyDescent="0.2"/>
  <cols>
    <col min="1" max="1" width="13.5" customWidth="1"/>
    <col min="2" max="2" width="22.5" customWidth="1"/>
    <col min="3" max="3" width="15" style="212" bestFit="1" customWidth="1"/>
    <col min="4" max="4" width="12.375" style="212" customWidth="1"/>
    <col min="5" max="5" width="14.625" style="212" customWidth="1"/>
    <col min="6" max="6" width="12.25" style="212" customWidth="1"/>
    <col min="7" max="7" width="11.25" style="212" customWidth="1"/>
    <col min="8" max="8" width="19.375" bestFit="1" customWidth="1"/>
    <col min="9" max="9" width="3.125" customWidth="1"/>
  </cols>
  <sheetData>
    <row r="2" spans="1:8" ht="23.25" x14ac:dyDescent="0.2">
      <c r="A2" s="408" t="s">
        <v>994</v>
      </c>
      <c r="B2" s="408"/>
      <c r="C2" s="408"/>
      <c r="D2" s="408"/>
      <c r="E2" s="408"/>
      <c r="F2" s="408"/>
      <c r="G2" s="408"/>
      <c r="H2" s="269"/>
    </row>
    <row r="4" spans="1:8" s="117" customFormat="1" ht="47.25" x14ac:dyDescent="0.2">
      <c r="A4" s="377" t="s">
        <v>605</v>
      </c>
      <c r="B4" s="377" t="s">
        <v>385</v>
      </c>
      <c r="C4" s="330" t="s">
        <v>1159</v>
      </c>
      <c r="D4" s="330" t="s">
        <v>1156</v>
      </c>
      <c r="E4" s="331" t="s">
        <v>1160</v>
      </c>
      <c r="F4" s="331" t="s">
        <v>1161</v>
      </c>
      <c r="G4" s="331" t="s">
        <v>1162</v>
      </c>
    </row>
    <row r="5" spans="1:8" x14ac:dyDescent="0.2">
      <c r="A5" s="189">
        <v>1611000110</v>
      </c>
      <c r="B5" s="189" t="s">
        <v>606</v>
      </c>
      <c r="C5" s="246">
        <v>2026.4055800000001</v>
      </c>
      <c r="D5" s="246">
        <f>C5*1.015</f>
        <v>2056.8016637000001</v>
      </c>
      <c r="E5" s="378">
        <f>D5/12</f>
        <v>171.40013864166667</v>
      </c>
      <c r="F5" s="246">
        <v>187</v>
      </c>
      <c r="G5" s="246">
        <f>D5</f>
        <v>2056.8016637000001</v>
      </c>
    </row>
    <row r="6" spans="1:8" ht="15" x14ac:dyDescent="0.25">
      <c r="A6" s="433" t="s">
        <v>607</v>
      </c>
      <c r="B6" s="428"/>
      <c r="C6" s="379">
        <f>SUM(C5)</f>
        <v>2026.4055800000001</v>
      </c>
      <c r="D6" s="379">
        <f>SUM(D5)</f>
        <v>2056.8016637000001</v>
      </c>
      <c r="E6" s="379">
        <f t="shared" ref="E6:E69" si="0">D6/12</f>
        <v>171.40013864166667</v>
      </c>
      <c r="F6" s="379">
        <f>SUM(F5)</f>
        <v>187</v>
      </c>
      <c r="G6" s="379">
        <f>SUM(G5)</f>
        <v>2056.8016637000001</v>
      </c>
    </row>
    <row r="7" spans="1:8" x14ac:dyDescent="0.2">
      <c r="A7" s="189">
        <v>1611200110</v>
      </c>
      <c r="B7" s="189" t="s">
        <v>608</v>
      </c>
      <c r="C7" s="246">
        <v>2235</v>
      </c>
      <c r="D7" s="246">
        <f t="shared" ref="D7:D12" si="1">C7*1.015</f>
        <v>2268.5249999999996</v>
      </c>
      <c r="E7" s="378">
        <f t="shared" si="0"/>
        <v>189.04374999999996</v>
      </c>
      <c r="F7" s="246">
        <v>175</v>
      </c>
      <c r="G7" s="246">
        <f t="shared" ref="G7:G69" si="2">D7</f>
        <v>2268.5249999999996</v>
      </c>
    </row>
    <row r="8" spans="1:8" x14ac:dyDescent="0.2">
      <c r="A8" s="189">
        <v>1612000110</v>
      </c>
      <c r="B8" s="189" t="s">
        <v>609</v>
      </c>
      <c r="C8" s="246">
        <v>660</v>
      </c>
      <c r="D8" s="246">
        <f t="shared" si="1"/>
        <v>669.9</v>
      </c>
      <c r="E8" s="378">
        <f t="shared" si="0"/>
        <v>55.824999999999996</v>
      </c>
      <c r="F8" s="246">
        <v>56</v>
      </c>
      <c r="G8" s="246">
        <f t="shared" si="2"/>
        <v>669.9</v>
      </c>
    </row>
    <row r="9" spans="1:8" x14ac:dyDescent="0.2">
      <c r="A9" s="189">
        <v>1613000110</v>
      </c>
      <c r="B9" s="189" t="s">
        <v>610</v>
      </c>
      <c r="C9" s="246">
        <v>3254</v>
      </c>
      <c r="D9" s="246">
        <f t="shared" si="1"/>
        <v>3302.8099999999995</v>
      </c>
      <c r="E9" s="378">
        <f t="shared" si="0"/>
        <v>275.23416666666662</v>
      </c>
      <c r="F9" s="246">
        <v>297</v>
      </c>
      <c r="G9" s="246">
        <f t="shared" si="2"/>
        <v>3302.8099999999995</v>
      </c>
    </row>
    <row r="10" spans="1:8" x14ac:dyDescent="0.2">
      <c r="A10" s="189">
        <v>1613300110</v>
      </c>
      <c r="B10" s="189" t="s">
        <v>833</v>
      </c>
      <c r="C10" s="246">
        <v>557</v>
      </c>
      <c r="D10" s="246">
        <f t="shared" si="1"/>
        <v>565.3549999999999</v>
      </c>
      <c r="E10" s="378">
        <f t="shared" si="0"/>
        <v>47.112916666666656</v>
      </c>
      <c r="F10" s="246">
        <v>69</v>
      </c>
      <c r="G10" s="246">
        <f t="shared" si="2"/>
        <v>565.3549999999999</v>
      </c>
    </row>
    <row r="11" spans="1:8" x14ac:dyDescent="0.2">
      <c r="A11" s="189">
        <v>1614000110</v>
      </c>
      <c r="B11" s="189" t="s">
        <v>611</v>
      </c>
      <c r="C11" s="246">
        <v>715</v>
      </c>
      <c r="D11" s="246">
        <f t="shared" si="1"/>
        <v>725.72499999999991</v>
      </c>
      <c r="E11" s="378">
        <f t="shared" si="0"/>
        <v>60.477083333333326</v>
      </c>
      <c r="F11" s="246">
        <v>58</v>
      </c>
      <c r="G11" s="246">
        <f t="shared" si="2"/>
        <v>725.72499999999991</v>
      </c>
    </row>
    <row r="12" spans="1:8" x14ac:dyDescent="0.2">
      <c r="A12" s="189">
        <v>1615000110</v>
      </c>
      <c r="B12" s="189" t="s">
        <v>612</v>
      </c>
      <c r="C12" s="246">
        <v>1048</v>
      </c>
      <c r="D12" s="246">
        <f t="shared" si="1"/>
        <v>1063.7199999999998</v>
      </c>
      <c r="E12" s="378">
        <f t="shared" si="0"/>
        <v>88.643333333333317</v>
      </c>
      <c r="F12" s="246">
        <v>95</v>
      </c>
      <c r="G12" s="246">
        <f t="shared" si="2"/>
        <v>1063.7199999999998</v>
      </c>
    </row>
    <row r="13" spans="1:8" x14ac:dyDescent="0.2">
      <c r="A13" s="189">
        <v>1617000110</v>
      </c>
      <c r="B13" s="189" t="s">
        <v>613</v>
      </c>
      <c r="C13" s="380">
        <v>941</v>
      </c>
      <c r="D13" s="380">
        <v>1330</v>
      </c>
      <c r="E13" s="378">
        <f t="shared" si="0"/>
        <v>110.83333333333333</v>
      </c>
      <c r="F13" s="380">
        <v>87</v>
      </c>
      <c r="G13" s="246">
        <f>1092</f>
        <v>1092</v>
      </c>
    </row>
    <row r="14" spans="1:8" ht="15" x14ac:dyDescent="0.25">
      <c r="A14" s="427" t="s">
        <v>614</v>
      </c>
      <c r="B14" s="428"/>
      <c r="C14" s="379">
        <f>SUM(C7:C13)</f>
        <v>9410</v>
      </c>
      <c r="D14" s="379">
        <f>SUM(D7:D13)</f>
        <v>9926.034999999998</v>
      </c>
      <c r="E14" s="379">
        <f t="shared" si="0"/>
        <v>827.16958333333321</v>
      </c>
      <c r="F14" s="379">
        <f>SUM(F7:F13)</f>
        <v>837</v>
      </c>
      <c r="G14" s="379">
        <f>SUM(G7:G13)</f>
        <v>9688.034999999998</v>
      </c>
    </row>
    <row r="15" spans="1:8" x14ac:dyDescent="0.2">
      <c r="A15" s="189">
        <v>1621100110</v>
      </c>
      <c r="B15" s="189" t="s">
        <v>615</v>
      </c>
      <c r="C15" s="246">
        <v>2315</v>
      </c>
      <c r="D15" s="246">
        <f>C15*1.015</f>
        <v>2349.7249999999999</v>
      </c>
      <c r="E15" s="378">
        <f t="shared" si="0"/>
        <v>195.81041666666667</v>
      </c>
      <c r="F15" s="246">
        <v>199</v>
      </c>
      <c r="G15" s="246">
        <f t="shared" si="2"/>
        <v>2349.7249999999999</v>
      </c>
    </row>
    <row r="16" spans="1:8" x14ac:dyDescent="0.2">
      <c r="A16" s="189">
        <v>1621300110</v>
      </c>
      <c r="B16" s="189" t="s">
        <v>616</v>
      </c>
      <c r="C16" s="246">
        <v>1067</v>
      </c>
      <c r="D16" s="246">
        <f t="shared" ref="D16:D19" si="3">C16*1.015</f>
        <v>1083.0049999999999</v>
      </c>
      <c r="E16" s="378">
        <f t="shared" si="0"/>
        <v>90.250416666666652</v>
      </c>
      <c r="F16" s="246">
        <v>75</v>
      </c>
      <c r="G16" s="246">
        <f t="shared" si="2"/>
        <v>1083.0049999999999</v>
      </c>
    </row>
    <row r="17" spans="1:7" x14ac:dyDescent="0.2">
      <c r="A17" s="189">
        <v>1621500110</v>
      </c>
      <c r="B17" s="189" t="s">
        <v>617</v>
      </c>
      <c r="C17" s="246">
        <v>779</v>
      </c>
      <c r="D17" s="246">
        <f t="shared" si="3"/>
        <v>790.68499999999995</v>
      </c>
      <c r="E17" s="378">
        <f t="shared" si="0"/>
        <v>65.890416666666667</v>
      </c>
      <c r="F17" s="246">
        <v>65</v>
      </c>
      <c r="G17" s="246">
        <f t="shared" si="2"/>
        <v>790.68499999999995</v>
      </c>
    </row>
    <row r="18" spans="1:7" x14ac:dyDescent="0.2">
      <c r="A18" s="189">
        <v>1623100110</v>
      </c>
      <c r="B18" s="189" t="s">
        <v>618</v>
      </c>
      <c r="C18" s="246">
        <v>1653</v>
      </c>
      <c r="D18" s="246">
        <f t="shared" si="3"/>
        <v>1677.7949999999998</v>
      </c>
      <c r="E18" s="378">
        <f t="shared" si="0"/>
        <v>139.81625</v>
      </c>
      <c r="F18" s="246">
        <v>117</v>
      </c>
      <c r="G18" s="246">
        <f t="shared" si="2"/>
        <v>1677.7949999999998</v>
      </c>
    </row>
    <row r="19" spans="1:7" x14ac:dyDescent="0.2">
      <c r="A19" s="189">
        <v>1623200110</v>
      </c>
      <c r="B19" s="189" t="s">
        <v>619</v>
      </c>
      <c r="C19" s="246">
        <v>1414</v>
      </c>
      <c r="D19" s="246">
        <f t="shared" si="3"/>
        <v>1435.2099999999998</v>
      </c>
      <c r="E19" s="378">
        <f t="shared" si="0"/>
        <v>119.60083333333331</v>
      </c>
      <c r="F19" s="246">
        <v>112</v>
      </c>
      <c r="G19" s="246">
        <f t="shared" si="2"/>
        <v>1435.2099999999998</v>
      </c>
    </row>
    <row r="20" spans="1:7" ht="15" x14ac:dyDescent="0.25">
      <c r="A20" s="427" t="s">
        <v>620</v>
      </c>
      <c r="B20" s="428"/>
      <c r="C20" s="379">
        <f>SUM(C15:C19)</f>
        <v>7228</v>
      </c>
      <c r="D20" s="379">
        <f>SUM(D15:D19)</f>
        <v>7336.4199999999992</v>
      </c>
      <c r="E20" s="379">
        <f t="shared" si="0"/>
        <v>611.36833333333323</v>
      </c>
      <c r="F20" s="379">
        <f>SUM(F15:F19)</f>
        <v>568</v>
      </c>
      <c r="G20" s="379">
        <f>SUM(G15:G19)</f>
        <v>7336.4199999999992</v>
      </c>
    </row>
    <row r="21" spans="1:7" x14ac:dyDescent="0.2">
      <c r="A21" s="189">
        <v>1711000110</v>
      </c>
      <c r="B21" s="189" t="s">
        <v>621</v>
      </c>
      <c r="C21" s="246">
        <v>2102</v>
      </c>
      <c r="D21" s="246">
        <f>C21*1.015</f>
        <v>2133.5299999999997</v>
      </c>
      <c r="E21" s="378">
        <f t="shared" si="0"/>
        <v>177.79416666666665</v>
      </c>
      <c r="F21" s="246">
        <v>140</v>
      </c>
      <c r="G21" s="380">
        <f>D21+150</f>
        <v>2283.5299999999997</v>
      </c>
    </row>
    <row r="22" spans="1:7" x14ac:dyDescent="0.2">
      <c r="A22" s="189">
        <v>1712100110</v>
      </c>
      <c r="B22" s="189" t="s">
        <v>834</v>
      </c>
      <c r="C22" s="246">
        <v>483</v>
      </c>
      <c r="D22" s="246">
        <f t="shared" ref="D22:D28" si="4">C22*1.015</f>
        <v>490.24499999999995</v>
      </c>
      <c r="E22" s="378">
        <f t="shared" si="0"/>
        <v>40.853749999999998</v>
      </c>
      <c r="F22" s="246">
        <v>56</v>
      </c>
      <c r="G22" s="246">
        <f t="shared" si="2"/>
        <v>490.24499999999995</v>
      </c>
    </row>
    <row r="23" spans="1:7" x14ac:dyDescent="0.2">
      <c r="A23" s="189">
        <v>1712200110</v>
      </c>
      <c r="B23" s="189" t="s">
        <v>622</v>
      </c>
      <c r="C23" s="246">
        <v>5094</v>
      </c>
      <c r="D23" s="246">
        <f t="shared" si="4"/>
        <v>5170.41</v>
      </c>
      <c r="E23" s="378">
        <f t="shared" si="0"/>
        <v>430.86750000000001</v>
      </c>
      <c r="F23" s="246">
        <v>341</v>
      </c>
      <c r="G23" s="246">
        <f t="shared" si="2"/>
        <v>5170.41</v>
      </c>
    </row>
    <row r="24" spans="1:7" x14ac:dyDescent="0.2">
      <c r="A24" s="189">
        <v>1712300110</v>
      </c>
      <c r="B24" s="189" t="s">
        <v>623</v>
      </c>
      <c r="C24" s="246">
        <v>2214</v>
      </c>
      <c r="D24" s="246">
        <f t="shared" si="4"/>
        <v>2247.2099999999996</v>
      </c>
      <c r="E24" s="378">
        <f t="shared" si="0"/>
        <v>187.26749999999996</v>
      </c>
      <c r="F24" s="246">
        <v>167</v>
      </c>
      <c r="G24" s="246">
        <f t="shared" si="2"/>
        <v>2247.2099999999996</v>
      </c>
    </row>
    <row r="25" spans="1:7" x14ac:dyDescent="0.2">
      <c r="A25" s="189">
        <v>1712320110</v>
      </c>
      <c r="B25" s="189" t="s">
        <v>1088</v>
      </c>
      <c r="C25" s="380">
        <v>1120</v>
      </c>
      <c r="D25" s="246">
        <f t="shared" si="4"/>
        <v>1136.8</v>
      </c>
      <c r="E25" s="378">
        <f t="shared" si="0"/>
        <v>94.733333333333334</v>
      </c>
      <c r="F25" s="380">
        <v>150</v>
      </c>
      <c r="G25" s="246">
        <f t="shared" si="2"/>
        <v>1136.8</v>
      </c>
    </row>
    <row r="26" spans="1:7" x14ac:dyDescent="0.2">
      <c r="A26" s="189">
        <v>1712400110</v>
      </c>
      <c r="B26" s="189" t="s">
        <v>624</v>
      </c>
      <c r="C26" s="380">
        <v>1237</v>
      </c>
      <c r="D26" s="246">
        <f t="shared" si="4"/>
        <v>1255.5549999999998</v>
      </c>
      <c r="E26" s="378">
        <f t="shared" si="0"/>
        <v>104.62958333333331</v>
      </c>
      <c r="F26" s="380">
        <v>91</v>
      </c>
      <c r="G26" s="246">
        <f t="shared" si="2"/>
        <v>1255.5549999999998</v>
      </c>
    </row>
    <row r="27" spans="1:7" x14ac:dyDescent="0.2">
      <c r="A27" s="189">
        <v>1714000110</v>
      </c>
      <c r="B27" s="189" t="s">
        <v>625</v>
      </c>
      <c r="C27" s="380">
        <v>674</v>
      </c>
      <c r="D27" s="246">
        <f t="shared" si="4"/>
        <v>684.1099999999999</v>
      </c>
      <c r="E27" s="378">
        <f t="shared" si="0"/>
        <v>57.009166666666658</v>
      </c>
      <c r="F27" s="380">
        <v>54</v>
      </c>
      <c r="G27" s="246">
        <f>D27+(13.5*12)</f>
        <v>846.1099999999999</v>
      </c>
    </row>
    <row r="28" spans="1:7" x14ac:dyDescent="0.2">
      <c r="A28" s="189">
        <v>1715000110</v>
      </c>
      <c r="B28" s="189" t="s">
        <v>626</v>
      </c>
      <c r="C28" s="246">
        <v>1461</v>
      </c>
      <c r="D28" s="246">
        <f t="shared" si="4"/>
        <v>1482.915</v>
      </c>
      <c r="E28" s="378">
        <f t="shared" si="0"/>
        <v>123.57625</v>
      </c>
      <c r="F28" s="380">
        <v>213</v>
      </c>
      <c r="G28" s="246">
        <f t="shared" si="2"/>
        <v>1482.915</v>
      </c>
    </row>
    <row r="29" spans="1:7" ht="15" x14ac:dyDescent="0.25">
      <c r="A29" s="427" t="s">
        <v>627</v>
      </c>
      <c r="B29" s="428"/>
      <c r="C29" s="379">
        <f t="shared" ref="C29:D29" si="5">SUM(C21:C28)</f>
        <v>14385</v>
      </c>
      <c r="D29" s="379">
        <f t="shared" si="5"/>
        <v>14600.774999999998</v>
      </c>
      <c r="E29" s="379">
        <f t="shared" si="0"/>
        <v>1216.7312499999998</v>
      </c>
      <c r="F29" s="379">
        <f>SUM(F21:F28)</f>
        <v>1212</v>
      </c>
      <c r="G29" s="379">
        <f>SUM(G21:G28)</f>
        <v>14912.774999999998</v>
      </c>
    </row>
    <row r="30" spans="1:7" x14ac:dyDescent="0.2">
      <c r="A30" s="189">
        <v>1721000110</v>
      </c>
      <c r="B30" s="189" t="s">
        <v>628</v>
      </c>
      <c r="C30" s="246">
        <v>1659</v>
      </c>
      <c r="D30" s="246">
        <f>C30*1.015</f>
        <v>1683.8849999999998</v>
      </c>
      <c r="E30" s="378">
        <f t="shared" si="0"/>
        <v>140.32374999999999</v>
      </c>
      <c r="F30" s="246">
        <v>149</v>
      </c>
      <c r="G30" s="246">
        <f t="shared" si="2"/>
        <v>1683.8849999999998</v>
      </c>
    </row>
    <row r="31" spans="1:7" x14ac:dyDescent="0.2">
      <c r="A31" s="189">
        <v>1721100110</v>
      </c>
      <c r="B31" s="189" t="s">
        <v>629</v>
      </c>
      <c r="C31" s="246">
        <v>3653</v>
      </c>
      <c r="D31" s="380">
        <f t="shared" ref="D31:D33" si="6">C31*1.015</f>
        <v>3707.7949999999996</v>
      </c>
      <c r="E31" s="378">
        <f t="shared" si="0"/>
        <v>308.98291666666665</v>
      </c>
      <c r="F31" s="246">
        <v>271</v>
      </c>
      <c r="G31" s="246">
        <f t="shared" si="2"/>
        <v>3707.7949999999996</v>
      </c>
    </row>
    <row r="32" spans="1:7" x14ac:dyDescent="0.2">
      <c r="A32" s="189">
        <v>1721200110</v>
      </c>
      <c r="B32" s="189" t="s">
        <v>630</v>
      </c>
      <c r="C32" s="246">
        <v>668</v>
      </c>
      <c r="D32" s="380">
        <f t="shared" si="6"/>
        <v>678.02</v>
      </c>
      <c r="E32" s="378">
        <f t="shared" si="0"/>
        <v>56.501666666666665</v>
      </c>
      <c r="F32" s="246">
        <v>66</v>
      </c>
      <c r="G32" s="246">
        <f t="shared" si="2"/>
        <v>678.02</v>
      </c>
    </row>
    <row r="33" spans="1:7" x14ac:dyDescent="0.2">
      <c r="A33" s="382">
        <v>1723000110</v>
      </c>
      <c r="B33" s="189" t="s">
        <v>631</v>
      </c>
      <c r="C33" s="246">
        <v>290</v>
      </c>
      <c r="D33" s="246">
        <f t="shared" si="6"/>
        <v>294.34999999999997</v>
      </c>
      <c r="E33" s="378">
        <f t="shared" si="0"/>
        <v>24.529166666666665</v>
      </c>
      <c r="F33" s="246">
        <v>15</v>
      </c>
      <c r="G33" s="246">
        <f t="shared" si="2"/>
        <v>294.34999999999997</v>
      </c>
    </row>
    <row r="34" spans="1:7" ht="15" x14ac:dyDescent="0.25">
      <c r="A34" s="427" t="s">
        <v>632</v>
      </c>
      <c r="B34" s="428"/>
      <c r="C34" s="379">
        <f t="shared" ref="C34:D34" si="7">SUM(C30:C33)</f>
        <v>6270</v>
      </c>
      <c r="D34" s="379">
        <f t="shared" si="7"/>
        <v>6364.0499999999993</v>
      </c>
      <c r="E34" s="379">
        <f t="shared" si="0"/>
        <v>530.33749999999998</v>
      </c>
      <c r="F34" s="379">
        <f>SUM(F30:F33)</f>
        <v>501</v>
      </c>
      <c r="G34" s="379">
        <f>SUM(G30:G33)</f>
        <v>6364.0499999999993</v>
      </c>
    </row>
    <row r="35" spans="1:7" x14ac:dyDescent="0.2">
      <c r="A35" s="189">
        <v>1731000110</v>
      </c>
      <c r="B35" s="189" t="s">
        <v>633</v>
      </c>
      <c r="C35" s="246">
        <v>2825</v>
      </c>
      <c r="D35" s="246">
        <f>C35*1.015</f>
        <v>2867.3749999999995</v>
      </c>
      <c r="E35" s="378">
        <f t="shared" si="0"/>
        <v>238.94791666666663</v>
      </c>
      <c r="F35" s="246">
        <v>305</v>
      </c>
      <c r="G35" s="246">
        <f>D35-235</f>
        <v>2632.3749999999995</v>
      </c>
    </row>
    <row r="36" spans="1:7" x14ac:dyDescent="0.2">
      <c r="A36" s="189">
        <v>1733000110</v>
      </c>
      <c r="B36" s="189" t="s">
        <v>634</v>
      </c>
      <c r="C36" s="246">
        <v>2597</v>
      </c>
      <c r="D36" s="246">
        <f>C36*1.015</f>
        <v>2635.9549999999999</v>
      </c>
      <c r="E36" s="378">
        <f t="shared" si="0"/>
        <v>219.66291666666666</v>
      </c>
      <c r="F36" s="246">
        <v>220</v>
      </c>
      <c r="G36" s="246">
        <f>D36+(15*2*8)</f>
        <v>2875.9549999999999</v>
      </c>
    </row>
    <row r="37" spans="1:7" ht="15" x14ac:dyDescent="0.25">
      <c r="A37" s="427" t="s">
        <v>635</v>
      </c>
      <c r="B37" s="428"/>
      <c r="C37" s="379">
        <f>SUM(C35:C36)</f>
        <v>5422</v>
      </c>
      <c r="D37" s="379">
        <f>SUM(D35:D36)</f>
        <v>5503.33</v>
      </c>
      <c r="E37" s="379">
        <f t="shared" si="0"/>
        <v>458.61083333333335</v>
      </c>
      <c r="F37" s="379">
        <f>SUM(F35:F36)</f>
        <v>525</v>
      </c>
      <c r="G37" s="379">
        <f>SUM(G35:G36)</f>
        <v>5508.33</v>
      </c>
    </row>
    <row r="38" spans="1:7" x14ac:dyDescent="0.2">
      <c r="A38" s="189">
        <v>1741000110</v>
      </c>
      <c r="B38" s="189" t="s">
        <v>636</v>
      </c>
      <c r="C38" s="246">
        <v>1034</v>
      </c>
      <c r="D38" s="246">
        <f>C38*1.015</f>
        <v>1049.51</v>
      </c>
      <c r="E38" s="378">
        <f t="shared" si="0"/>
        <v>87.459166666666661</v>
      </c>
      <c r="F38" s="246">
        <v>49</v>
      </c>
      <c r="G38" s="246">
        <v>895</v>
      </c>
    </row>
    <row r="39" spans="1:7" x14ac:dyDescent="0.2">
      <c r="A39" s="189">
        <v>1743000110</v>
      </c>
      <c r="B39" s="189" t="s">
        <v>637</v>
      </c>
      <c r="C39" s="246">
        <v>718</v>
      </c>
      <c r="D39" s="246">
        <f t="shared" ref="D39:D40" si="8">C39*1.015</f>
        <v>728.77</v>
      </c>
      <c r="E39" s="378">
        <f t="shared" si="0"/>
        <v>60.730833333333329</v>
      </c>
      <c r="F39" s="246">
        <v>45</v>
      </c>
      <c r="G39" s="246">
        <f t="shared" si="2"/>
        <v>728.77</v>
      </c>
    </row>
    <row r="40" spans="1:7" x14ac:dyDescent="0.2">
      <c r="A40" s="189">
        <v>1746000110</v>
      </c>
      <c r="B40" s="189" t="s">
        <v>638</v>
      </c>
      <c r="C40" s="246">
        <v>2799</v>
      </c>
      <c r="D40" s="246">
        <f t="shared" si="8"/>
        <v>2840.9849999999997</v>
      </c>
      <c r="E40" s="378">
        <f t="shared" si="0"/>
        <v>236.74874999999997</v>
      </c>
      <c r="F40" s="246">
        <v>213</v>
      </c>
      <c r="G40" s="246">
        <f t="shared" si="2"/>
        <v>2840.9849999999997</v>
      </c>
    </row>
    <row r="41" spans="1:7" x14ac:dyDescent="0.2">
      <c r="A41" s="189">
        <v>1746100110</v>
      </c>
      <c r="B41" s="189" t="s">
        <v>639</v>
      </c>
      <c r="C41" s="380">
        <v>517</v>
      </c>
      <c r="D41" s="380">
        <v>540</v>
      </c>
      <c r="E41" s="378">
        <f t="shared" si="0"/>
        <v>45</v>
      </c>
      <c r="F41" s="380">
        <v>47</v>
      </c>
      <c r="G41" s="246">
        <f t="shared" si="2"/>
        <v>540</v>
      </c>
    </row>
    <row r="42" spans="1:7" x14ac:dyDescent="0.2">
      <c r="A42" s="189">
        <v>1746200110</v>
      </c>
      <c r="B42" s="189" t="s">
        <v>640</v>
      </c>
      <c r="C42" s="246">
        <v>764</v>
      </c>
      <c r="D42" s="246">
        <f>C42*1.015</f>
        <v>775.45999999999992</v>
      </c>
      <c r="E42" s="378">
        <f t="shared" si="0"/>
        <v>64.621666666666655</v>
      </c>
      <c r="F42" s="246">
        <v>70</v>
      </c>
      <c r="G42" s="246">
        <f t="shared" si="2"/>
        <v>775.45999999999992</v>
      </c>
    </row>
    <row r="43" spans="1:7" ht="15" x14ac:dyDescent="0.25">
      <c r="A43" s="427" t="s">
        <v>641</v>
      </c>
      <c r="B43" s="428"/>
      <c r="C43" s="379">
        <f>SUM(C38:C42)</f>
        <v>5832</v>
      </c>
      <c r="D43" s="379">
        <f>SUM(D38:D42)</f>
        <v>5934.7249999999995</v>
      </c>
      <c r="E43" s="379">
        <f t="shared" si="0"/>
        <v>494.56041666666664</v>
      </c>
      <c r="F43" s="379">
        <f>SUM(F38:F42)</f>
        <v>424</v>
      </c>
      <c r="G43" s="379">
        <f>SUM(G38:G42)</f>
        <v>5780.2149999999992</v>
      </c>
    </row>
    <row r="44" spans="1:7" ht="13.9" customHeight="1" x14ac:dyDescent="0.2">
      <c r="A44" s="243">
        <v>1752000110</v>
      </c>
      <c r="B44" s="189" t="s">
        <v>642</v>
      </c>
      <c r="C44" s="246">
        <v>167</v>
      </c>
      <c r="D44" s="380">
        <f>C44*1.015</f>
        <v>169.505</v>
      </c>
      <c r="E44" s="378">
        <f t="shared" si="0"/>
        <v>14.125416666666666</v>
      </c>
      <c r="F44" s="380">
        <v>3</v>
      </c>
      <c r="G44" s="246">
        <f t="shared" si="2"/>
        <v>169.505</v>
      </c>
    </row>
    <row r="45" spans="1:7" ht="15" x14ac:dyDescent="0.25">
      <c r="A45" s="427" t="s">
        <v>643</v>
      </c>
      <c r="B45" s="428"/>
      <c r="C45" s="379">
        <f>SUM(C44)</f>
        <v>167</v>
      </c>
      <c r="D45" s="379">
        <f>SUM(D44)</f>
        <v>169.505</v>
      </c>
      <c r="E45" s="379">
        <f t="shared" si="0"/>
        <v>14.125416666666666</v>
      </c>
      <c r="F45" s="379">
        <f>SUM(F44)</f>
        <v>3</v>
      </c>
      <c r="G45" s="379">
        <f>SUM(G44)</f>
        <v>169.505</v>
      </c>
    </row>
    <row r="46" spans="1:7" x14ac:dyDescent="0.2">
      <c r="A46" s="189">
        <v>1761000110</v>
      </c>
      <c r="B46" s="189" t="s">
        <v>644</v>
      </c>
      <c r="C46" s="246">
        <v>1740</v>
      </c>
      <c r="D46" s="246">
        <f>C46*1.015</f>
        <v>1766.1</v>
      </c>
      <c r="E46" s="378">
        <f t="shared" si="0"/>
        <v>147.17499999999998</v>
      </c>
      <c r="F46" s="246">
        <v>143</v>
      </c>
      <c r="G46" s="246">
        <f t="shared" si="2"/>
        <v>1766.1</v>
      </c>
    </row>
    <row r="47" spans="1:7" x14ac:dyDescent="0.2">
      <c r="A47" s="189">
        <v>1764000110</v>
      </c>
      <c r="B47" s="189" t="s">
        <v>645</v>
      </c>
      <c r="C47" s="246">
        <v>182</v>
      </c>
      <c r="D47" s="246">
        <f>C47*1.015</f>
        <v>184.73</v>
      </c>
      <c r="E47" s="378">
        <f t="shared" si="0"/>
        <v>15.394166666666665</v>
      </c>
      <c r="F47" s="246">
        <v>14</v>
      </c>
      <c r="G47" s="246">
        <f t="shared" si="2"/>
        <v>184.73</v>
      </c>
    </row>
    <row r="48" spans="1:7" ht="15" x14ac:dyDescent="0.25">
      <c r="A48" s="427" t="s">
        <v>646</v>
      </c>
      <c r="B48" s="428"/>
      <c r="C48" s="379">
        <f>SUM(C46:C47)</f>
        <v>1922</v>
      </c>
      <c r="D48" s="379">
        <f>SUM(D46:D47)</f>
        <v>1950.83</v>
      </c>
      <c r="E48" s="379">
        <f t="shared" si="0"/>
        <v>162.56916666666666</v>
      </c>
      <c r="F48" s="379">
        <f>SUM(F46:F47)</f>
        <v>157</v>
      </c>
      <c r="G48" s="379">
        <f>SUM(G46:G47)</f>
        <v>1950.83</v>
      </c>
    </row>
    <row r="49" spans="1:8" x14ac:dyDescent="0.2">
      <c r="A49" s="189">
        <v>1770000110</v>
      </c>
      <c r="B49" s="199" t="s">
        <v>1085</v>
      </c>
      <c r="C49" s="380">
        <v>288</v>
      </c>
      <c r="D49" s="380">
        <v>190</v>
      </c>
      <c r="E49" s="378">
        <f t="shared" si="0"/>
        <v>15.833333333333334</v>
      </c>
      <c r="F49" s="380">
        <v>16</v>
      </c>
      <c r="G49" s="246">
        <f>D49+30</f>
        <v>220</v>
      </c>
    </row>
    <row r="50" spans="1:8" x14ac:dyDescent="0.2">
      <c r="A50" s="189">
        <v>1772000110</v>
      </c>
      <c r="B50" s="199" t="s">
        <v>835</v>
      </c>
      <c r="C50" s="380">
        <v>585</v>
      </c>
      <c r="D50" s="380">
        <v>650</v>
      </c>
      <c r="E50" s="378">
        <f t="shared" si="0"/>
        <v>54.166666666666664</v>
      </c>
      <c r="F50" s="380">
        <v>70</v>
      </c>
      <c r="G50" s="246">
        <f t="shared" si="2"/>
        <v>650</v>
      </c>
    </row>
    <row r="51" spans="1:8" ht="15" x14ac:dyDescent="0.25">
      <c r="A51" s="427" t="s">
        <v>830</v>
      </c>
      <c r="B51" s="428"/>
      <c r="C51" s="306">
        <f>SUM(C49:C50)</f>
        <v>873</v>
      </c>
      <c r="D51" s="306">
        <f>SUM(D49:D50)</f>
        <v>840</v>
      </c>
      <c r="E51" s="306">
        <f t="shared" si="0"/>
        <v>70</v>
      </c>
      <c r="F51" s="306">
        <f>SUM(F49:F50)</f>
        <v>86</v>
      </c>
      <c r="G51" s="306">
        <f>SUM(G49:G50)</f>
        <v>870</v>
      </c>
    </row>
    <row r="52" spans="1:8" ht="13.5" customHeight="1" x14ac:dyDescent="0.2">
      <c r="A52" s="189">
        <v>1781000110</v>
      </c>
      <c r="B52" s="189" t="s">
        <v>647</v>
      </c>
      <c r="C52" s="246">
        <v>2224</v>
      </c>
      <c r="D52" s="246">
        <f>C52*1.015</f>
        <v>2257.3599999999997</v>
      </c>
      <c r="E52" s="378">
        <f t="shared" si="0"/>
        <v>188.11333333333332</v>
      </c>
      <c r="F52" s="246">
        <v>170</v>
      </c>
      <c r="G52" s="246">
        <f t="shared" si="2"/>
        <v>2257.3599999999997</v>
      </c>
    </row>
    <row r="53" spans="1:8" x14ac:dyDescent="0.2">
      <c r="A53" s="189">
        <v>1781100110</v>
      </c>
      <c r="B53" s="189" t="s">
        <v>648</v>
      </c>
      <c r="C53" s="380">
        <v>616</v>
      </c>
      <c r="D53" s="246">
        <f>C53*1.015</f>
        <v>625.2399999999999</v>
      </c>
      <c r="E53" s="378">
        <f t="shared" si="0"/>
        <v>52.103333333333325</v>
      </c>
      <c r="F53" s="246">
        <v>48</v>
      </c>
      <c r="G53" s="246">
        <f t="shared" si="2"/>
        <v>625.2399999999999</v>
      </c>
    </row>
    <row r="54" spans="1:8" ht="15" x14ac:dyDescent="0.25">
      <c r="A54" s="427" t="s">
        <v>649</v>
      </c>
      <c r="B54" s="428"/>
      <c r="C54" s="379">
        <f t="shared" ref="C54:D54" si="9">SUM(C52:C53)</f>
        <v>2840</v>
      </c>
      <c r="D54" s="379">
        <f t="shared" si="9"/>
        <v>2882.5999999999995</v>
      </c>
      <c r="E54" s="379">
        <f t="shared" si="0"/>
        <v>240.21666666666661</v>
      </c>
      <c r="F54" s="379">
        <f>SUM(F52:F53)</f>
        <v>218</v>
      </c>
      <c r="G54" s="379">
        <f>SUM(G52:G53)</f>
        <v>2882.5999999999995</v>
      </c>
    </row>
    <row r="55" spans="1:8" x14ac:dyDescent="0.2">
      <c r="A55" s="189">
        <v>1811000110</v>
      </c>
      <c r="B55" s="189" t="s">
        <v>650</v>
      </c>
      <c r="C55" s="246">
        <v>3265</v>
      </c>
      <c r="D55" s="246">
        <f>C55*1.015</f>
        <v>3313.9749999999995</v>
      </c>
      <c r="E55" s="378">
        <f t="shared" si="0"/>
        <v>276.16458333333327</v>
      </c>
      <c r="F55" s="246">
        <v>322</v>
      </c>
      <c r="G55" s="380">
        <f>D55+250</f>
        <v>3563.9749999999995</v>
      </c>
      <c r="H55" s="130"/>
    </row>
    <row r="56" spans="1:8" x14ac:dyDescent="0.2">
      <c r="A56" s="189">
        <v>1812200110</v>
      </c>
      <c r="B56" s="189" t="s">
        <v>651</v>
      </c>
      <c r="C56" s="246">
        <v>4302</v>
      </c>
      <c r="D56" s="246">
        <f t="shared" ref="D56:D77" si="10">C56*1.015</f>
        <v>4366.53</v>
      </c>
      <c r="E56" s="378">
        <f t="shared" si="0"/>
        <v>363.8775</v>
      </c>
      <c r="F56" s="246">
        <v>259</v>
      </c>
      <c r="G56" s="246">
        <f>D56</f>
        <v>4366.53</v>
      </c>
    </row>
    <row r="57" spans="1:8" x14ac:dyDescent="0.2">
      <c r="A57" s="189">
        <v>1812210110</v>
      </c>
      <c r="B57" s="189" t="s">
        <v>652</v>
      </c>
      <c r="C57" s="246">
        <v>4235</v>
      </c>
      <c r="D57" s="246">
        <f t="shared" si="10"/>
        <v>4298.5249999999996</v>
      </c>
      <c r="E57" s="378">
        <f t="shared" si="0"/>
        <v>358.21041666666662</v>
      </c>
      <c r="F57" s="246">
        <v>315</v>
      </c>
      <c r="G57" s="246">
        <f t="shared" si="2"/>
        <v>4298.5249999999996</v>
      </c>
    </row>
    <row r="58" spans="1:8" x14ac:dyDescent="0.2">
      <c r="A58" s="189">
        <v>1812300110</v>
      </c>
      <c r="B58" s="189" t="s">
        <v>653</v>
      </c>
      <c r="C58" s="246">
        <v>6872</v>
      </c>
      <c r="D58" s="246">
        <f t="shared" si="10"/>
        <v>6975.079999999999</v>
      </c>
      <c r="E58" s="378">
        <f t="shared" si="0"/>
        <v>581.25666666666655</v>
      </c>
      <c r="F58" s="246">
        <v>472</v>
      </c>
      <c r="G58" s="246">
        <f t="shared" si="2"/>
        <v>6975.079999999999</v>
      </c>
    </row>
    <row r="59" spans="1:8" x14ac:dyDescent="0.2">
      <c r="A59" s="189">
        <v>1812310110</v>
      </c>
      <c r="B59" s="189" t="s">
        <v>654</v>
      </c>
      <c r="C59" s="246">
        <v>191</v>
      </c>
      <c r="D59" s="246">
        <f t="shared" si="10"/>
        <v>193.86499999999998</v>
      </c>
      <c r="E59" s="378">
        <f t="shared" si="0"/>
        <v>16.155416666666664</v>
      </c>
      <c r="F59" s="246">
        <v>13</v>
      </c>
      <c r="G59" s="246">
        <f t="shared" si="2"/>
        <v>193.86499999999998</v>
      </c>
    </row>
    <row r="60" spans="1:8" x14ac:dyDescent="0.2">
      <c r="A60" s="189">
        <v>1812400110</v>
      </c>
      <c r="B60" s="189" t="s">
        <v>655</v>
      </c>
      <c r="C60" s="246">
        <v>432</v>
      </c>
      <c r="D60" s="246">
        <f t="shared" si="10"/>
        <v>438.47999999999996</v>
      </c>
      <c r="E60" s="378">
        <f t="shared" si="0"/>
        <v>36.54</v>
      </c>
      <c r="F60" s="246">
        <v>44</v>
      </c>
      <c r="G60" s="246">
        <f t="shared" si="2"/>
        <v>438.47999999999996</v>
      </c>
    </row>
    <row r="61" spans="1:8" x14ac:dyDescent="0.2">
      <c r="A61" s="189">
        <v>1812510110</v>
      </c>
      <c r="B61" s="189" t="s">
        <v>656</v>
      </c>
      <c r="C61" s="246">
        <v>7</v>
      </c>
      <c r="D61" s="246">
        <f t="shared" si="10"/>
        <v>7.1049999999999995</v>
      </c>
      <c r="E61" s="378">
        <f t="shared" si="0"/>
        <v>0.59208333333333329</v>
      </c>
      <c r="F61" s="246">
        <v>2</v>
      </c>
      <c r="G61" s="246">
        <f t="shared" si="2"/>
        <v>7.1049999999999995</v>
      </c>
    </row>
    <row r="62" spans="1:8" x14ac:dyDescent="0.2">
      <c r="A62" s="189">
        <v>1812520110</v>
      </c>
      <c r="B62" s="243" t="s">
        <v>1004</v>
      </c>
      <c r="C62" s="246">
        <v>53</v>
      </c>
      <c r="D62" s="246">
        <f t="shared" si="10"/>
        <v>53.794999999999995</v>
      </c>
      <c r="E62" s="378">
        <f t="shared" si="0"/>
        <v>4.4829166666666662</v>
      </c>
      <c r="F62" s="246">
        <v>0</v>
      </c>
      <c r="G62" s="246">
        <f t="shared" si="2"/>
        <v>53.794999999999995</v>
      </c>
    </row>
    <row r="63" spans="1:8" x14ac:dyDescent="0.2">
      <c r="A63" s="189">
        <v>1812600110</v>
      </c>
      <c r="B63" s="189" t="s">
        <v>657</v>
      </c>
      <c r="C63" s="246">
        <v>4408</v>
      </c>
      <c r="D63" s="246">
        <f t="shared" si="10"/>
        <v>4474.12</v>
      </c>
      <c r="E63" s="378">
        <f t="shared" si="0"/>
        <v>372.84333333333331</v>
      </c>
      <c r="F63" s="246">
        <v>402</v>
      </c>
      <c r="G63" s="246">
        <f t="shared" si="2"/>
        <v>4474.12</v>
      </c>
    </row>
    <row r="64" spans="1:8" x14ac:dyDescent="0.2">
      <c r="A64" s="189">
        <v>1812700110</v>
      </c>
      <c r="B64" s="189" t="s">
        <v>1166</v>
      </c>
      <c r="C64" s="246">
        <v>768</v>
      </c>
      <c r="D64" s="246">
        <f t="shared" si="10"/>
        <v>779.52</v>
      </c>
      <c r="E64" s="378">
        <f t="shared" si="0"/>
        <v>64.959999999999994</v>
      </c>
      <c r="F64" s="246">
        <v>56</v>
      </c>
      <c r="G64" s="246">
        <f t="shared" si="2"/>
        <v>779.52</v>
      </c>
    </row>
    <row r="65" spans="1:7" x14ac:dyDescent="0.2">
      <c r="A65" s="189">
        <v>1812800110</v>
      </c>
      <c r="B65" s="189" t="s">
        <v>658</v>
      </c>
      <c r="C65" s="246">
        <v>1884</v>
      </c>
      <c r="D65" s="246">
        <f t="shared" si="10"/>
        <v>1912.2599999999998</v>
      </c>
      <c r="E65" s="378">
        <f t="shared" si="0"/>
        <v>159.35499999999999</v>
      </c>
      <c r="F65" s="246">
        <v>157</v>
      </c>
      <c r="G65" s="246">
        <f t="shared" si="2"/>
        <v>1912.2599999999998</v>
      </c>
    </row>
    <row r="66" spans="1:7" x14ac:dyDescent="0.2">
      <c r="A66" s="189">
        <v>1812900110</v>
      </c>
      <c r="B66" s="189" t="s">
        <v>659</v>
      </c>
      <c r="C66" s="246">
        <v>1542</v>
      </c>
      <c r="D66" s="246">
        <f t="shared" si="10"/>
        <v>1565.1299999999999</v>
      </c>
      <c r="E66" s="378">
        <f t="shared" si="0"/>
        <v>130.42749999999998</v>
      </c>
      <c r="F66" s="246">
        <v>97</v>
      </c>
      <c r="G66" s="246">
        <f t="shared" si="2"/>
        <v>1565.1299999999999</v>
      </c>
    </row>
    <row r="67" spans="1:7" x14ac:dyDescent="0.2">
      <c r="A67" s="189">
        <v>1813210110</v>
      </c>
      <c r="B67" s="189" t="s">
        <v>660</v>
      </c>
      <c r="C67" s="246">
        <v>1060</v>
      </c>
      <c r="D67" s="246">
        <f t="shared" si="10"/>
        <v>1075.8999999999999</v>
      </c>
      <c r="E67" s="378">
        <f t="shared" si="0"/>
        <v>89.658333333333317</v>
      </c>
      <c r="F67" s="246">
        <v>79</v>
      </c>
      <c r="G67" s="246">
        <f t="shared" si="2"/>
        <v>1075.8999999999999</v>
      </c>
    </row>
    <row r="68" spans="1:7" x14ac:dyDescent="0.2">
      <c r="A68" s="189">
        <v>1813211110</v>
      </c>
      <c r="B68" s="189" t="s">
        <v>660</v>
      </c>
      <c r="C68" s="246">
        <v>662</v>
      </c>
      <c r="D68" s="246">
        <f t="shared" si="10"/>
        <v>671.93</v>
      </c>
      <c r="E68" s="378">
        <f t="shared" si="0"/>
        <v>55.994166666666665</v>
      </c>
      <c r="F68" s="246">
        <v>48</v>
      </c>
      <c r="G68" s="246">
        <f t="shared" si="2"/>
        <v>671.93</v>
      </c>
    </row>
    <row r="69" spans="1:7" x14ac:dyDescent="0.2">
      <c r="A69" s="189">
        <v>1813212110</v>
      </c>
      <c r="B69" s="189" t="s">
        <v>660</v>
      </c>
      <c r="C69" s="246">
        <v>901</v>
      </c>
      <c r="D69" s="246">
        <f t="shared" si="10"/>
        <v>914.51499999999987</v>
      </c>
      <c r="E69" s="378">
        <f t="shared" si="0"/>
        <v>76.209583333333327</v>
      </c>
      <c r="F69" s="246">
        <v>68</v>
      </c>
      <c r="G69" s="246">
        <f t="shared" si="2"/>
        <v>914.51499999999987</v>
      </c>
    </row>
    <row r="70" spans="1:7" x14ac:dyDescent="0.2">
      <c r="A70" s="189">
        <v>1813213110</v>
      </c>
      <c r="B70" s="189" t="s">
        <v>660</v>
      </c>
      <c r="C70" s="246">
        <v>672</v>
      </c>
      <c r="D70" s="246">
        <f t="shared" si="10"/>
        <v>682.07999999999993</v>
      </c>
      <c r="E70" s="378">
        <f t="shared" ref="E70:E130" si="11">D70/12</f>
        <v>56.839999999999996</v>
      </c>
      <c r="F70" s="246">
        <v>53</v>
      </c>
      <c r="G70" s="246">
        <f t="shared" ref="G70:G119" si="12">D70</f>
        <v>682.07999999999993</v>
      </c>
    </row>
    <row r="71" spans="1:7" x14ac:dyDescent="0.2">
      <c r="A71" s="189">
        <v>1813214110</v>
      </c>
      <c r="B71" s="189" t="s">
        <v>660</v>
      </c>
      <c r="C71" s="246">
        <v>506</v>
      </c>
      <c r="D71" s="246">
        <f t="shared" si="10"/>
        <v>513.58999999999992</v>
      </c>
      <c r="E71" s="378">
        <f t="shared" si="11"/>
        <v>42.799166666666657</v>
      </c>
      <c r="F71" s="246">
        <v>47</v>
      </c>
      <c r="G71" s="246">
        <f t="shared" si="12"/>
        <v>513.58999999999992</v>
      </c>
    </row>
    <row r="72" spans="1:7" x14ac:dyDescent="0.2">
      <c r="A72" s="189">
        <v>1813215110</v>
      </c>
      <c r="B72" s="189" t="s">
        <v>660</v>
      </c>
      <c r="C72" s="246">
        <v>548</v>
      </c>
      <c r="D72" s="246">
        <f t="shared" si="10"/>
        <v>556.21999999999991</v>
      </c>
      <c r="E72" s="378">
        <f t="shared" si="11"/>
        <v>46.351666666666659</v>
      </c>
      <c r="F72" s="246">
        <v>40</v>
      </c>
      <c r="G72" s="246">
        <f t="shared" si="12"/>
        <v>556.21999999999991</v>
      </c>
    </row>
    <row r="73" spans="1:7" x14ac:dyDescent="0.2">
      <c r="A73" s="189">
        <v>1813216110</v>
      </c>
      <c r="B73" s="189" t="s">
        <v>660</v>
      </c>
      <c r="C73" s="246">
        <v>521</v>
      </c>
      <c r="D73" s="246">
        <f t="shared" si="10"/>
        <v>528.81499999999994</v>
      </c>
      <c r="E73" s="378">
        <f t="shared" si="11"/>
        <v>44.067916666666662</v>
      </c>
      <c r="F73" s="246">
        <v>49</v>
      </c>
      <c r="G73" s="246">
        <f t="shared" si="12"/>
        <v>528.81499999999994</v>
      </c>
    </row>
    <row r="74" spans="1:7" x14ac:dyDescent="0.2">
      <c r="A74" s="189">
        <v>1813217110</v>
      </c>
      <c r="B74" s="189" t="s">
        <v>660</v>
      </c>
      <c r="C74" s="246">
        <v>460</v>
      </c>
      <c r="D74" s="246">
        <f t="shared" si="10"/>
        <v>466.9</v>
      </c>
      <c r="E74" s="378">
        <f t="shared" si="11"/>
        <v>38.908333333333331</v>
      </c>
      <c r="F74" s="246">
        <v>26</v>
      </c>
      <c r="G74" s="246">
        <f t="shared" si="12"/>
        <v>466.9</v>
      </c>
    </row>
    <row r="75" spans="1:7" x14ac:dyDescent="0.2">
      <c r="A75" s="189">
        <v>1813218110</v>
      </c>
      <c r="B75" s="189" t="s">
        <v>660</v>
      </c>
      <c r="C75" s="246">
        <v>935</v>
      </c>
      <c r="D75" s="246">
        <f t="shared" si="10"/>
        <v>949.02499999999986</v>
      </c>
      <c r="E75" s="378">
        <f t="shared" si="11"/>
        <v>79.08541666666666</v>
      </c>
      <c r="F75" s="246">
        <v>71</v>
      </c>
      <c r="G75" s="246">
        <f t="shared" si="12"/>
        <v>949.02499999999986</v>
      </c>
    </row>
    <row r="76" spans="1:7" x14ac:dyDescent="0.2">
      <c r="A76" s="189">
        <v>1813219110</v>
      </c>
      <c r="B76" s="189" t="s">
        <v>660</v>
      </c>
      <c r="C76" s="246">
        <v>389</v>
      </c>
      <c r="D76" s="246">
        <f t="shared" si="10"/>
        <v>394.83499999999998</v>
      </c>
      <c r="E76" s="378">
        <f t="shared" si="11"/>
        <v>32.902916666666663</v>
      </c>
      <c r="F76" s="246">
        <v>32</v>
      </c>
      <c r="G76" s="246">
        <f t="shared" si="12"/>
        <v>394.83499999999998</v>
      </c>
    </row>
    <row r="77" spans="1:7" x14ac:dyDescent="0.2">
      <c r="A77" s="189">
        <v>1813220110</v>
      </c>
      <c r="B77" s="189" t="s">
        <v>660</v>
      </c>
      <c r="C77" s="246">
        <v>855</v>
      </c>
      <c r="D77" s="246">
        <f t="shared" si="10"/>
        <v>867.82499999999993</v>
      </c>
      <c r="E77" s="378">
        <f t="shared" si="11"/>
        <v>72.318749999999994</v>
      </c>
      <c r="F77" s="246">
        <v>72</v>
      </c>
      <c r="G77" s="246">
        <f t="shared" si="12"/>
        <v>867.82499999999993</v>
      </c>
    </row>
    <row r="78" spans="1:7" x14ac:dyDescent="0.2">
      <c r="A78" s="189">
        <v>1813221110</v>
      </c>
      <c r="B78" s="189" t="s">
        <v>660</v>
      </c>
      <c r="C78" s="380">
        <v>35</v>
      </c>
      <c r="D78" s="380">
        <v>0</v>
      </c>
      <c r="E78" s="378">
        <f t="shared" si="11"/>
        <v>0</v>
      </c>
      <c r="F78" s="380">
        <v>0</v>
      </c>
      <c r="G78" s="246">
        <f t="shared" si="12"/>
        <v>0</v>
      </c>
    </row>
    <row r="79" spans="1:7" x14ac:dyDescent="0.2">
      <c r="A79" s="189">
        <v>1813222110</v>
      </c>
      <c r="B79" s="189" t="s">
        <v>660</v>
      </c>
      <c r="C79" s="246">
        <v>264</v>
      </c>
      <c r="D79" s="246">
        <f>C79*1.015</f>
        <v>267.95999999999998</v>
      </c>
      <c r="E79" s="378">
        <f t="shared" si="11"/>
        <v>22.33</v>
      </c>
      <c r="F79" s="246">
        <v>22</v>
      </c>
      <c r="G79" s="246">
        <f t="shared" si="12"/>
        <v>267.95999999999998</v>
      </c>
    </row>
    <row r="80" spans="1:7" x14ac:dyDescent="0.2">
      <c r="A80" s="189">
        <v>1813223110</v>
      </c>
      <c r="B80" s="189" t="s">
        <v>660</v>
      </c>
      <c r="C80" s="246">
        <v>199</v>
      </c>
      <c r="D80" s="246">
        <f t="shared" ref="D80:D83" si="13">C80*1.015</f>
        <v>201.98499999999999</v>
      </c>
      <c r="E80" s="378">
        <f t="shared" si="11"/>
        <v>16.832083333333333</v>
      </c>
      <c r="F80" s="246">
        <v>14</v>
      </c>
      <c r="G80" s="246">
        <f t="shared" si="12"/>
        <v>201.98499999999999</v>
      </c>
    </row>
    <row r="81" spans="1:7" x14ac:dyDescent="0.2">
      <c r="A81" s="189">
        <v>1813224110</v>
      </c>
      <c r="B81" s="189" t="s">
        <v>660</v>
      </c>
      <c r="C81" s="246">
        <v>262</v>
      </c>
      <c r="D81" s="246">
        <f t="shared" si="13"/>
        <v>265.92999999999995</v>
      </c>
      <c r="E81" s="378">
        <f t="shared" si="11"/>
        <v>22.160833333333329</v>
      </c>
      <c r="F81" s="246">
        <v>19</v>
      </c>
      <c r="G81" s="246">
        <f t="shared" si="12"/>
        <v>265.92999999999995</v>
      </c>
    </row>
    <row r="82" spans="1:7" x14ac:dyDescent="0.2">
      <c r="A82" s="189">
        <v>1813225110</v>
      </c>
      <c r="B82" s="189" t="s">
        <v>660</v>
      </c>
      <c r="C82" s="246">
        <v>434</v>
      </c>
      <c r="D82" s="246">
        <f t="shared" si="13"/>
        <v>440.50999999999993</v>
      </c>
      <c r="E82" s="378">
        <f t="shared" si="11"/>
        <v>36.709166666666661</v>
      </c>
      <c r="F82" s="246">
        <v>33</v>
      </c>
      <c r="G82" s="246">
        <f t="shared" si="12"/>
        <v>440.50999999999993</v>
      </c>
    </row>
    <row r="83" spans="1:7" x14ac:dyDescent="0.2">
      <c r="A83" s="189">
        <v>1813226110</v>
      </c>
      <c r="B83" s="189" t="s">
        <v>660</v>
      </c>
      <c r="C83" s="246">
        <v>464</v>
      </c>
      <c r="D83" s="246">
        <f t="shared" si="13"/>
        <v>470.96</v>
      </c>
      <c r="E83" s="378">
        <f t="shared" si="11"/>
        <v>39.246666666666663</v>
      </c>
      <c r="F83" s="246">
        <v>32</v>
      </c>
      <c r="G83" s="246">
        <f t="shared" si="12"/>
        <v>470.96</v>
      </c>
    </row>
    <row r="84" spans="1:7" x14ac:dyDescent="0.2">
      <c r="A84" s="189">
        <v>1813227110</v>
      </c>
      <c r="B84" s="189" t="s">
        <v>977</v>
      </c>
      <c r="C84" s="380">
        <v>72</v>
      </c>
      <c r="D84" s="380">
        <v>0</v>
      </c>
      <c r="E84" s="378">
        <f t="shared" si="11"/>
        <v>0</v>
      </c>
      <c r="F84" s="380">
        <v>0</v>
      </c>
      <c r="G84" s="246">
        <f t="shared" si="12"/>
        <v>0</v>
      </c>
    </row>
    <row r="85" spans="1:7" x14ac:dyDescent="0.2">
      <c r="A85" s="189">
        <v>1813300110</v>
      </c>
      <c r="B85" s="189" t="s">
        <v>661</v>
      </c>
      <c r="C85" s="246">
        <v>3273</v>
      </c>
      <c r="D85" s="246">
        <f>C85*1.015</f>
        <v>3322.0949999999998</v>
      </c>
      <c r="E85" s="378">
        <f t="shared" si="11"/>
        <v>276.84125</v>
      </c>
      <c r="F85" s="246">
        <v>293</v>
      </c>
      <c r="G85" s="246">
        <f t="shared" si="12"/>
        <v>3322.0949999999998</v>
      </c>
    </row>
    <row r="86" spans="1:7" x14ac:dyDescent="0.2">
      <c r="A86" s="189">
        <v>1813400110</v>
      </c>
      <c r="B86" s="189" t="s">
        <v>662</v>
      </c>
      <c r="C86" s="246">
        <v>6610</v>
      </c>
      <c r="D86" s="246">
        <f t="shared" ref="D86:D98" si="14">C86*1.015</f>
        <v>6709.15</v>
      </c>
      <c r="E86" s="378">
        <f t="shared" si="11"/>
        <v>559.0958333333333</v>
      </c>
      <c r="F86" s="246">
        <v>489</v>
      </c>
      <c r="G86" s="246">
        <f t="shared" si="12"/>
        <v>6709.15</v>
      </c>
    </row>
    <row r="87" spans="1:7" x14ac:dyDescent="0.2">
      <c r="A87" s="189">
        <v>1813500110</v>
      </c>
      <c r="B87" s="189" t="s">
        <v>663</v>
      </c>
      <c r="C87" s="246">
        <v>4606</v>
      </c>
      <c r="D87" s="246">
        <f t="shared" si="14"/>
        <v>4675.0899999999992</v>
      </c>
      <c r="E87" s="378">
        <f t="shared" si="11"/>
        <v>389.59083333333325</v>
      </c>
      <c r="F87" s="246">
        <v>327</v>
      </c>
      <c r="G87" s="246">
        <f t="shared" si="12"/>
        <v>4675.0899999999992</v>
      </c>
    </row>
    <row r="88" spans="1:7" x14ac:dyDescent="0.2">
      <c r="A88" s="189">
        <v>1813600110</v>
      </c>
      <c r="B88" s="189" t="s">
        <v>664</v>
      </c>
      <c r="C88" s="246">
        <v>2306</v>
      </c>
      <c r="D88" s="246">
        <f t="shared" si="14"/>
        <v>2340.5899999999997</v>
      </c>
      <c r="E88" s="378">
        <f t="shared" si="11"/>
        <v>195.04916666666665</v>
      </c>
      <c r="F88" s="246">
        <v>237</v>
      </c>
      <c r="G88" s="246">
        <f t="shared" si="12"/>
        <v>2340.5899999999997</v>
      </c>
    </row>
    <row r="89" spans="1:7" x14ac:dyDescent="0.2">
      <c r="A89" s="189">
        <v>1813700110</v>
      </c>
      <c r="B89" s="189" t="s">
        <v>978</v>
      </c>
      <c r="C89" s="246">
        <v>52</v>
      </c>
      <c r="D89" s="246">
        <f t="shared" si="14"/>
        <v>52.779999999999994</v>
      </c>
      <c r="E89" s="378">
        <f t="shared" si="11"/>
        <v>4.3983333333333325</v>
      </c>
      <c r="F89" s="246">
        <v>1</v>
      </c>
      <c r="G89" s="246">
        <f t="shared" si="12"/>
        <v>52.779999999999994</v>
      </c>
    </row>
    <row r="90" spans="1:7" x14ac:dyDescent="0.2">
      <c r="A90" s="189">
        <v>1817100110</v>
      </c>
      <c r="B90" s="189" t="s">
        <v>665</v>
      </c>
      <c r="C90" s="246">
        <v>433</v>
      </c>
      <c r="D90" s="246">
        <f t="shared" si="14"/>
        <v>439.49499999999995</v>
      </c>
      <c r="E90" s="378">
        <f t="shared" si="11"/>
        <v>36.624583333333327</v>
      </c>
      <c r="F90" s="246">
        <v>30</v>
      </c>
      <c r="G90" s="246">
        <f t="shared" si="12"/>
        <v>439.49499999999995</v>
      </c>
    </row>
    <row r="91" spans="1:7" x14ac:dyDescent="0.2">
      <c r="A91" s="189">
        <v>1817200110</v>
      </c>
      <c r="B91" s="189" t="s">
        <v>666</v>
      </c>
      <c r="C91" s="246">
        <v>616</v>
      </c>
      <c r="D91" s="246">
        <f t="shared" si="14"/>
        <v>625.2399999999999</v>
      </c>
      <c r="E91" s="378">
        <f t="shared" si="11"/>
        <v>52.103333333333325</v>
      </c>
      <c r="F91" s="246">
        <v>49</v>
      </c>
      <c r="G91" s="246">
        <f t="shared" si="12"/>
        <v>625.2399999999999</v>
      </c>
    </row>
    <row r="92" spans="1:7" x14ac:dyDescent="0.2">
      <c r="A92" s="189">
        <v>1817300110</v>
      </c>
      <c r="B92" s="189" t="s">
        <v>667</v>
      </c>
      <c r="C92" s="246">
        <v>3941</v>
      </c>
      <c r="D92" s="246">
        <f t="shared" si="14"/>
        <v>4000.1149999999998</v>
      </c>
      <c r="E92" s="378">
        <f t="shared" si="11"/>
        <v>333.34291666666667</v>
      </c>
      <c r="F92" s="246">
        <v>287</v>
      </c>
      <c r="G92" s="246">
        <f t="shared" si="12"/>
        <v>4000.1149999999998</v>
      </c>
    </row>
    <row r="93" spans="1:7" x14ac:dyDescent="0.2">
      <c r="A93" s="189">
        <v>1817700110</v>
      </c>
      <c r="B93" s="189" t="s">
        <v>668</v>
      </c>
      <c r="C93" s="246">
        <v>721</v>
      </c>
      <c r="D93" s="246">
        <f t="shared" si="14"/>
        <v>731.81499999999994</v>
      </c>
      <c r="E93" s="378">
        <f t="shared" si="11"/>
        <v>60.984583333333326</v>
      </c>
      <c r="F93" s="246">
        <v>69</v>
      </c>
      <c r="G93" s="246">
        <f t="shared" si="12"/>
        <v>731.81499999999994</v>
      </c>
    </row>
    <row r="94" spans="1:7" x14ac:dyDescent="0.2">
      <c r="A94" s="189">
        <v>1817710110</v>
      </c>
      <c r="B94" s="189" t="s">
        <v>836</v>
      </c>
      <c r="C94" s="246">
        <v>412</v>
      </c>
      <c r="D94" s="246">
        <f t="shared" si="14"/>
        <v>418.17999999999995</v>
      </c>
      <c r="E94" s="378">
        <f t="shared" si="11"/>
        <v>34.848333333333329</v>
      </c>
      <c r="F94" s="246">
        <v>31</v>
      </c>
      <c r="G94" s="246">
        <f t="shared" si="12"/>
        <v>418.17999999999995</v>
      </c>
    </row>
    <row r="95" spans="1:7" x14ac:dyDescent="0.2">
      <c r="A95" s="189">
        <v>1817900110</v>
      </c>
      <c r="B95" s="189" t="s">
        <v>669</v>
      </c>
      <c r="C95" s="246">
        <v>211</v>
      </c>
      <c r="D95" s="246">
        <f t="shared" si="14"/>
        <v>214.16499999999999</v>
      </c>
      <c r="E95" s="378">
        <f t="shared" si="11"/>
        <v>17.847083333333334</v>
      </c>
      <c r="F95" s="246">
        <v>16</v>
      </c>
      <c r="G95" s="246">
        <f t="shared" si="12"/>
        <v>214.16499999999999</v>
      </c>
    </row>
    <row r="96" spans="1:7" x14ac:dyDescent="0.2">
      <c r="A96" s="189">
        <v>1817910110</v>
      </c>
      <c r="B96" s="189" t="s">
        <v>670</v>
      </c>
      <c r="C96" s="246">
        <v>1597</v>
      </c>
      <c r="D96" s="246">
        <f t="shared" si="14"/>
        <v>1620.9549999999999</v>
      </c>
      <c r="E96" s="378">
        <f t="shared" si="11"/>
        <v>135.07958333333332</v>
      </c>
      <c r="F96" s="246">
        <v>136</v>
      </c>
      <c r="G96" s="246">
        <f t="shared" si="12"/>
        <v>1620.9549999999999</v>
      </c>
    </row>
    <row r="97" spans="1:7" x14ac:dyDescent="0.2">
      <c r="A97" s="189">
        <v>1817911110</v>
      </c>
      <c r="B97" s="189" t="s">
        <v>671</v>
      </c>
      <c r="C97" s="246">
        <v>222</v>
      </c>
      <c r="D97" s="246">
        <f t="shared" si="14"/>
        <v>225.32999999999998</v>
      </c>
      <c r="E97" s="378">
        <f t="shared" si="11"/>
        <v>18.7775</v>
      </c>
      <c r="F97" s="246">
        <v>18</v>
      </c>
      <c r="G97" s="246">
        <f t="shared" si="12"/>
        <v>225.32999999999998</v>
      </c>
    </row>
    <row r="98" spans="1:7" x14ac:dyDescent="0.2">
      <c r="A98" s="189">
        <v>1817912110</v>
      </c>
      <c r="B98" s="189" t="s">
        <v>672</v>
      </c>
      <c r="C98" s="246">
        <v>335</v>
      </c>
      <c r="D98" s="246">
        <f t="shared" si="14"/>
        <v>340.02499999999998</v>
      </c>
      <c r="E98" s="378">
        <f t="shared" si="11"/>
        <v>28.335416666666664</v>
      </c>
      <c r="F98" s="246">
        <v>26</v>
      </c>
      <c r="G98" s="246">
        <f t="shared" si="12"/>
        <v>340.02499999999998</v>
      </c>
    </row>
    <row r="99" spans="1:7" ht="15" x14ac:dyDescent="0.25">
      <c r="A99" s="427" t="s">
        <v>673</v>
      </c>
      <c r="B99" s="428"/>
      <c r="C99" s="379">
        <f t="shared" ref="C99:D99" si="15">SUM(C55:C98)</f>
        <v>62533</v>
      </c>
      <c r="D99" s="379">
        <f t="shared" si="15"/>
        <v>63362.39</v>
      </c>
      <c r="E99" s="379">
        <f t="shared" si="11"/>
        <v>5280.1991666666663</v>
      </c>
      <c r="F99" s="379">
        <f>SUM(F55:F98)</f>
        <v>4853</v>
      </c>
      <c r="G99" s="379">
        <f>SUM(G55:G98)</f>
        <v>63612.39</v>
      </c>
    </row>
    <row r="100" spans="1:7" x14ac:dyDescent="0.2">
      <c r="A100" s="189">
        <v>1821000110</v>
      </c>
      <c r="B100" s="189" t="s">
        <v>674</v>
      </c>
      <c r="C100" s="246">
        <v>1664</v>
      </c>
      <c r="D100" s="246">
        <f>C100*1.015</f>
        <v>1688.9599999999998</v>
      </c>
      <c r="E100" s="378">
        <f t="shared" si="11"/>
        <v>140.74666666666664</v>
      </c>
      <c r="F100" s="246">
        <v>124</v>
      </c>
      <c r="G100" s="246">
        <f t="shared" si="12"/>
        <v>1688.9599999999998</v>
      </c>
    </row>
    <row r="101" spans="1:7" x14ac:dyDescent="0.2">
      <c r="A101" s="189">
        <v>1823000110</v>
      </c>
      <c r="B101" s="189" t="s">
        <v>675</v>
      </c>
      <c r="C101" s="246">
        <v>1240</v>
      </c>
      <c r="D101" s="246">
        <f t="shared" ref="D101:D104" si="16">C101*1.015</f>
        <v>1258.5999999999999</v>
      </c>
      <c r="E101" s="378">
        <f t="shared" si="11"/>
        <v>104.88333333333333</v>
      </c>
      <c r="F101" s="246">
        <v>96</v>
      </c>
      <c r="G101" s="246">
        <f t="shared" si="12"/>
        <v>1258.5999999999999</v>
      </c>
    </row>
    <row r="102" spans="1:7" x14ac:dyDescent="0.2">
      <c r="A102" s="189">
        <v>1824000110</v>
      </c>
      <c r="B102" s="189" t="s">
        <v>676</v>
      </c>
      <c r="C102" s="246">
        <v>1</v>
      </c>
      <c r="D102" s="246">
        <f t="shared" si="16"/>
        <v>1.0149999999999999</v>
      </c>
      <c r="E102" s="378">
        <f t="shared" si="11"/>
        <v>8.458333333333333E-2</v>
      </c>
      <c r="F102" s="246">
        <v>0</v>
      </c>
      <c r="G102" s="246">
        <f t="shared" si="12"/>
        <v>1.0149999999999999</v>
      </c>
    </row>
    <row r="103" spans="1:7" x14ac:dyDescent="0.2">
      <c r="A103" s="189">
        <v>1825000110</v>
      </c>
      <c r="B103" s="189" t="s">
        <v>677</v>
      </c>
      <c r="C103" s="246">
        <v>644</v>
      </c>
      <c r="D103" s="246">
        <f t="shared" si="16"/>
        <v>653.66</v>
      </c>
      <c r="E103" s="378">
        <f t="shared" si="11"/>
        <v>54.471666666666664</v>
      </c>
      <c r="F103" s="246">
        <v>53</v>
      </c>
      <c r="G103" s="246">
        <f t="shared" si="12"/>
        <v>653.66</v>
      </c>
    </row>
    <row r="104" spans="1:7" x14ac:dyDescent="0.2">
      <c r="A104" s="189">
        <v>1829200110</v>
      </c>
      <c r="B104" s="189" t="s">
        <v>678</v>
      </c>
      <c r="C104" s="246">
        <v>1142</v>
      </c>
      <c r="D104" s="246">
        <f t="shared" si="16"/>
        <v>1159.1299999999999</v>
      </c>
      <c r="E104" s="378">
        <f t="shared" si="11"/>
        <v>96.594166666666652</v>
      </c>
      <c r="F104" s="246">
        <v>76</v>
      </c>
      <c r="G104" s="246">
        <f t="shared" si="12"/>
        <v>1159.1299999999999</v>
      </c>
    </row>
    <row r="105" spans="1:7" ht="15" x14ac:dyDescent="0.25">
      <c r="A105" s="427" t="s">
        <v>679</v>
      </c>
      <c r="B105" s="428"/>
      <c r="C105" s="379">
        <f>SUM(C100:C104)</f>
        <v>4691</v>
      </c>
      <c r="D105" s="379">
        <f>SUM(D100:D104)</f>
        <v>4761.3649999999989</v>
      </c>
      <c r="E105" s="379">
        <f t="shared" si="11"/>
        <v>396.78041666666655</v>
      </c>
      <c r="F105" s="379">
        <f>SUM(F100:F104)</f>
        <v>349</v>
      </c>
      <c r="G105" s="379">
        <f>SUM(G100:G104)</f>
        <v>4761.3649999999989</v>
      </c>
    </row>
    <row r="106" spans="1:7" x14ac:dyDescent="0.2">
      <c r="A106" s="243">
        <v>1841000110</v>
      </c>
      <c r="B106" s="189" t="s">
        <v>415</v>
      </c>
      <c r="C106" s="246">
        <v>14801</v>
      </c>
      <c r="D106" s="246">
        <f>C106*1.015</f>
        <v>15023.014999999999</v>
      </c>
      <c r="E106" s="378">
        <f t="shared" si="11"/>
        <v>1251.9179166666665</v>
      </c>
      <c r="F106" s="246">
        <v>1127</v>
      </c>
      <c r="G106" s="246">
        <f t="shared" si="12"/>
        <v>15023.014999999999</v>
      </c>
    </row>
    <row r="107" spans="1:7" ht="15" x14ac:dyDescent="0.25">
      <c r="A107" s="427" t="s">
        <v>680</v>
      </c>
      <c r="B107" s="428"/>
      <c r="C107" s="379">
        <f t="shared" ref="C107:D107" si="17">SUM(C106)</f>
        <v>14801</v>
      </c>
      <c r="D107" s="379">
        <f t="shared" si="17"/>
        <v>15023.014999999999</v>
      </c>
      <c r="E107" s="379">
        <f t="shared" si="11"/>
        <v>1251.9179166666665</v>
      </c>
      <c r="F107" s="379">
        <f>SUM(F106)</f>
        <v>1127</v>
      </c>
      <c r="G107" s="379">
        <f>SUM(G106)</f>
        <v>15023.014999999999</v>
      </c>
    </row>
    <row r="108" spans="1:7" x14ac:dyDescent="0.2">
      <c r="A108" s="189">
        <v>1869000110</v>
      </c>
      <c r="B108" s="189" t="s">
        <v>681</v>
      </c>
      <c r="C108" s="246">
        <v>2151</v>
      </c>
      <c r="D108" s="246">
        <f>C108*1.015</f>
        <v>2183.2649999999999</v>
      </c>
      <c r="E108" s="378">
        <f t="shared" si="11"/>
        <v>181.93875</v>
      </c>
      <c r="F108" s="246">
        <v>186</v>
      </c>
      <c r="G108" s="246">
        <f t="shared" si="12"/>
        <v>2183.2649999999999</v>
      </c>
    </row>
    <row r="109" spans="1:7" x14ac:dyDescent="0.2">
      <c r="A109" s="189">
        <v>1869100110</v>
      </c>
      <c r="B109" s="189" t="s">
        <v>682</v>
      </c>
      <c r="C109" s="246">
        <v>577</v>
      </c>
      <c r="D109" s="246">
        <f>C109*1.015</f>
        <v>585.65499999999997</v>
      </c>
      <c r="E109" s="378">
        <f t="shared" si="11"/>
        <v>48.804583333333333</v>
      </c>
      <c r="F109" s="246">
        <v>63</v>
      </c>
      <c r="G109" s="246">
        <f t="shared" si="12"/>
        <v>585.65499999999997</v>
      </c>
    </row>
    <row r="110" spans="1:7" ht="15" x14ac:dyDescent="0.25">
      <c r="A110" s="427" t="s">
        <v>683</v>
      </c>
      <c r="B110" s="428"/>
      <c r="C110" s="379">
        <f>SUM(C108:C109)</f>
        <v>2728</v>
      </c>
      <c r="D110" s="379">
        <f>SUM(D108:D109)</f>
        <v>2768.92</v>
      </c>
      <c r="E110" s="379">
        <f t="shared" si="11"/>
        <v>230.74333333333334</v>
      </c>
      <c r="F110" s="379">
        <f>SUM(F108:F109)</f>
        <v>249</v>
      </c>
      <c r="G110" s="379">
        <f>SUM(G108:G109)</f>
        <v>2768.92</v>
      </c>
    </row>
    <row r="111" spans="1:7" x14ac:dyDescent="0.2">
      <c r="A111" s="189">
        <v>1879000110</v>
      </c>
      <c r="B111" s="189" t="s">
        <v>837</v>
      </c>
      <c r="C111" s="246">
        <v>920</v>
      </c>
      <c r="D111" s="246">
        <f>C111*1.015</f>
        <v>933.8</v>
      </c>
      <c r="E111" s="378">
        <f t="shared" si="11"/>
        <v>77.816666666666663</v>
      </c>
      <c r="F111" s="246">
        <v>67</v>
      </c>
      <c r="G111" s="246">
        <f t="shared" si="12"/>
        <v>933.8</v>
      </c>
    </row>
    <row r="112" spans="1:7" ht="15" x14ac:dyDescent="0.25">
      <c r="A112" s="427" t="s">
        <v>685</v>
      </c>
      <c r="B112" s="428"/>
      <c r="C112" s="379">
        <f>SUM(C111)</f>
        <v>920</v>
      </c>
      <c r="D112" s="379">
        <f>SUM(D111)</f>
        <v>933.8</v>
      </c>
      <c r="E112" s="379">
        <f t="shared" si="11"/>
        <v>77.816666666666663</v>
      </c>
      <c r="F112" s="379">
        <f>SUM(F111)</f>
        <v>67</v>
      </c>
      <c r="G112" s="379">
        <f>SUM(G111)</f>
        <v>933.8</v>
      </c>
    </row>
    <row r="113" spans="1:7" x14ac:dyDescent="0.2">
      <c r="A113" s="189">
        <v>1914000110</v>
      </c>
      <c r="B113" s="189" t="s">
        <v>684</v>
      </c>
      <c r="C113" s="246">
        <v>254</v>
      </c>
      <c r="D113" s="380">
        <f>C113*1.015</f>
        <v>257.81</v>
      </c>
      <c r="E113" s="378">
        <f t="shared" si="11"/>
        <v>21.484166666666667</v>
      </c>
      <c r="F113" s="246">
        <v>21</v>
      </c>
      <c r="G113" s="246">
        <f t="shared" si="12"/>
        <v>257.81</v>
      </c>
    </row>
    <row r="114" spans="1:7" ht="15" x14ac:dyDescent="0.25">
      <c r="A114" s="427" t="s">
        <v>685</v>
      </c>
      <c r="B114" s="428"/>
      <c r="C114" s="379">
        <f>SUM(C113)</f>
        <v>254</v>
      </c>
      <c r="D114" s="379">
        <f>SUM(D113)</f>
        <v>257.81</v>
      </c>
      <c r="E114" s="379">
        <f t="shared" si="11"/>
        <v>21.484166666666667</v>
      </c>
      <c r="F114" s="379">
        <f>SUM(F113)</f>
        <v>21</v>
      </c>
      <c r="G114" s="379">
        <f>SUM(G113)</f>
        <v>257.81</v>
      </c>
    </row>
    <row r="115" spans="1:7" x14ac:dyDescent="0.2">
      <c r="A115" s="189">
        <v>1931000110</v>
      </c>
      <c r="B115" s="189" t="s">
        <v>686</v>
      </c>
      <c r="C115" s="380">
        <v>129</v>
      </c>
      <c r="D115" s="380">
        <v>0</v>
      </c>
      <c r="E115" s="378">
        <f t="shared" si="11"/>
        <v>0</v>
      </c>
      <c r="F115" s="380">
        <v>0</v>
      </c>
      <c r="G115" s="246">
        <f t="shared" si="12"/>
        <v>0</v>
      </c>
    </row>
    <row r="116" spans="1:7" x14ac:dyDescent="0.2">
      <c r="A116" s="189">
        <v>1931100110</v>
      </c>
      <c r="B116" s="189" t="s">
        <v>687</v>
      </c>
      <c r="C116" s="246">
        <v>1299</v>
      </c>
      <c r="D116" s="246">
        <f>C116*1.015</f>
        <v>1318.4849999999999</v>
      </c>
      <c r="E116" s="378">
        <f t="shared" si="11"/>
        <v>109.87374999999999</v>
      </c>
      <c r="F116" s="246">
        <v>88</v>
      </c>
      <c r="G116" s="246">
        <f t="shared" si="12"/>
        <v>1318.4849999999999</v>
      </c>
    </row>
    <row r="117" spans="1:7" x14ac:dyDescent="0.2">
      <c r="A117" s="189">
        <v>1938000110</v>
      </c>
      <c r="B117" s="189" t="s">
        <v>688</v>
      </c>
      <c r="C117" s="246">
        <v>1560</v>
      </c>
      <c r="D117" s="246">
        <f>C117*1.015</f>
        <v>1583.3999999999999</v>
      </c>
      <c r="E117" s="378">
        <f t="shared" si="11"/>
        <v>131.94999999999999</v>
      </c>
      <c r="F117" s="246">
        <v>133</v>
      </c>
      <c r="G117" s="246">
        <f t="shared" si="12"/>
        <v>1583.3999999999999</v>
      </c>
    </row>
    <row r="118" spans="1:7" ht="15" x14ac:dyDescent="0.25">
      <c r="A118" s="427" t="s">
        <v>689</v>
      </c>
      <c r="B118" s="428"/>
      <c r="C118" s="379">
        <f>SUM(C115:C117)</f>
        <v>2988</v>
      </c>
      <c r="D118" s="379">
        <f>SUM(D115:D117)</f>
        <v>2901.8849999999998</v>
      </c>
      <c r="E118" s="379">
        <f t="shared" si="11"/>
        <v>241.82374999999999</v>
      </c>
      <c r="F118" s="379">
        <f>SUM(F115:F117)</f>
        <v>221</v>
      </c>
      <c r="G118" s="379">
        <f>SUM(G115:G117)</f>
        <v>2901.8849999999998</v>
      </c>
    </row>
    <row r="119" spans="1:7" x14ac:dyDescent="0.2">
      <c r="A119" s="189">
        <v>1943000110</v>
      </c>
      <c r="B119" s="189" t="s">
        <v>690</v>
      </c>
      <c r="C119" s="246">
        <v>895</v>
      </c>
      <c r="D119" s="246">
        <f>C119*1.015</f>
        <v>908.42499999999995</v>
      </c>
      <c r="E119" s="378">
        <f t="shared" si="11"/>
        <v>75.702083333333334</v>
      </c>
      <c r="F119" s="246">
        <v>73</v>
      </c>
      <c r="G119" s="246">
        <f t="shared" si="12"/>
        <v>908.42499999999995</v>
      </c>
    </row>
    <row r="120" spans="1:7" ht="15" x14ac:dyDescent="0.25">
      <c r="A120" s="427" t="s">
        <v>691</v>
      </c>
      <c r="B120" s="428"/>
      <c r="C120" s="379">
        <f>SUM(C119)</f>
        <v>895</v>
      </c>
      <c r="D120" s="379">
        <f>SUM(D119)</f>
        <v>908.42499999999995</v>
      </c>
      <c r="E120" s="379">
        <f t="shared" si="11"/>
        <v>75.702083333333334</v>
      </c>
      <c r="F120" s="379">
        <f>SUM(F119)</f>
        <v>73</v>
      </c>
      <c r="G120" s="379">
        <f>SUM(G119)</f>
        <v>908.42499999999995</v>
      </c>
    </row>
    <row r="121" spans="1:7" ht="15" x14ac:dyDescent="0.25">
      <c r="A121" s="383">
        <v>1999000110</v>
      </c>
      <c r="B121" s="383" t="s">
        <v>1128</v>
      </c>
      <c r="C121" s="384">
        <v>4</v>
      </c>
      <c r="D121" s="384">
        <f>C121*1.015</f>
        <v>4.0599999999999996</v>
      </c>
      <c r="E121" s="378">
        <f t="shared" si="11"/>
        <v>0.33833333333333332</v>
      </c>
      <c r="F121" s="384">
        <v>0</v>
      </c>
      <c r="G121" s="384">
        <v>4</v>
      </c>
    </row>
    <row r="122" spans="1:7" ht="15" x14ac:dyDescent="0.25">
      <c r="A122" s="381"/>
      <c r="B122" s="381" t="s">
        <v>692</v>
      </c>
      <c r="C122" s="306">
        <f t="shared" ref="C122:D122" si="18">SUM(C121)</f>
        <v>4</v>
      </c>
      <c r="D122" s="306">
        <f t="shared" si="18"/>
        <v>4.0599999999999996</v>
      </c>
      <c r="E122" s="306">
        <f t="shared" si="11"/>
        <v>0.33833333333333332</v>
      </c>
      <c r="F122" s="306">
        <f>SUM(F121)</f>
        <v>0</v>
      </c>
      <c r="G122" s="306">
        <v>4</v>
      </c>
    </row>
    <row r="123" spans="1:7" s="273" customFormat="1" ht="15" x14ac:dyDescent="0.25">
      <c r="A123" s="385"/>
      <c r="B123" s="386" t="s">
        <v>1131</v>
      </c>
      <c r="C123" s="387">
        <f t="shared" ref="C123" si="19">C120+C118+C114+C112+C110+C107+C105+C99+C54+C51+C48+C45+C43+C37+C34+C29+C20+C14+C6</f>
        <v>146185.40557999999</v>
      </c>
      <c r="D123" s="387">
        <f>D120+D118+D114+D112+D110+D107+D105+D99+D54+D51+D48+D45+D43+D37+D34+D29+D20+D14+D6</f>
        <v>148482.68166370003</v>
      </c>
      <c r="E123" s="387">
        <f t="shared" si="11"/>
        <v>12373.556805308335</v>
      </c>
      <c r="F123" s="387">
        <f>F120+F118+F114+F112+F110+F107+F105+F99+F54+F51+F48+F45+F43+F37+F34+F29+F20+F14+F6+F122</f>
        <v>11678</v>
      </c>
      <c r="G123" s="387">
        <f>G120+G118+G114+G112+G110+G107+G105+G99+G54+G51+G48+G45+G43+G37+G34+G29+G20+G14+G6+G122</f>
        <v>148691.17166370002</v>
      </c>
    </row>
    <row r="124" spans="1:7" s="6" customFormat="1" x14ac:dyDescent="0.2">
      <c r="A124" s="199">
        <v>1999000300</v>
      </c>
      <c r="B124" s="382" t="s">
        <v>1127</v>
      </c>
      <c r="C124" s="380">
        <v>30290</v>
      </c>
      <c r="D124" s="380">
        <v>30290</v>
      </c>
      <c r="E124" s="378">
        <f t="shared" si="11"/>
        <v>2524.1666666666665</v>
      </c>
      <c r="F124" s="380">
        <v>2268</v>
      </c>
      <c r="G124" s="380">
        <f>D124</f>
        <v>30290</v>
      </c>
    </row>
    <row r="125" spans="1:7" s="6" customFormat="1" x14ac:dyDescent="0.2">
      <c r="A125" s="199">
        <v>1999200300</v>
      </c>
      <c r="B125" s="382" t="s">
        <v>1129</v>
      </c>
      <c r="C125" s="380">
        <v>0</v>
      </c>
      <c r="D125" s="380">
        <v>0</v>
      </c>
      <c r="E125" s="378">
        <f t="shared" si="11"/>
        <v>0</v>
      </c>
      <c r="F125" s="380">
        <v>0</v>
      </c>
      <c r="G125" s="380">
        <f t="shared" ref="G125:G128" si="20">D125</f>
        <v>0</v>
      </c>
    </row>
    <row r="126" spans="1:7" s="6" customFormat="1" x14ac:dyDescent="0.2">
      <c r="A126" s="199">
        <v>1999999300</v>
      </c>
      <c r="B126" s="382" t="s">
        <v>1130</v>
      </c>
      <c r="C126" s="380">
        <v>0</v>
      </c>
      <c r="D126" s="380">
        <v>0</v>
      </c>
      <c r="E126" s="378">
        <f t="shared" si="11"/>
        <v>0</v>
      </c>
      <c r="F126" s="380">
        <v>-35</v>
      </c>
      <c r="G126" s="380">
        <f t="shared" si="20"/>
        <v>0</v>
      </c>
    </row>
    <row r="127" spans="1:7" s="6" customFormat="1" ht="15" customHeight="1" x14ac:dyDescent="0.2">
      <c r="A127" s="199">
        <v>1999000310</v>
      </c>
      <c r="B127" s="382" t="str">
        <f>B124</f>
        <v>פנסיה</v>
      </c>
      <c r="C127" s="380">
        <v>0</v>
      </c>
      <c r="D127" s="380">
        <v>0</v>
      </c>
      <c r="E127" s="378">
        <f t="shared" si="11"/>
        <v>0</v>
      </c>
      <c r="F127" s="380">
        <v>0</v>
      </c>
      <c r="G127" s="380">
        <f t="shared" si="20"/>
        <v>0</v>
      </c>
    </row>
    <row r="128" spans="1:7" s="6" customFormat="1" ht="15" customHeight="1" x14ac:dyDescent="0.2">
      <c r="A128" s="199">
        <v>1999000320</v>
      </c>
      <c r="B128" s="248" t="s">
        <v>939</v>
      </c>
      <c r="C128" s="380">
        <v>0</v>
      </c>
      <c r="D128" s="380">
        <v>0</v>
      </c>
      <c r="E128" s="378">
        <f t="shared" si="11"/>
        <v>0</v>
      </c>
      <c r="F128" s="380">
        <v>0</v>
      </c>
      <c r="G128" s="380">
        <f t="shared" si="20"/>
        <v>0</v>
      </c>
    </row>
    <row r="129" spans="1:8" s="6" customFormat="1" ht="15" customHeight="1" x14ac:dyDescent="0.25">
      <c r="A129" s="427" t="s">
        <v>1132</v>
      </c>
      <c r="B129" s="427"/>
      <c r="C129" s="388">
        <f t="shared" ref="C129:D129" si="21">SUM(C124:C128)</f>
        <v>30290</v>
      </c>
      <c r="D129" s="388">
        <f t="shared" si="21"/>
        <v>30290</v>
      </c>
      <c r="E129" s="388">
        <f t="shared" si="11"/>
        <v>2524.1666666666665</v>
      </c>
      <c r="F129" s="388">
        <f>SUM(F124:F128)</f>
        <v>2233</v>
      </c>
      <c r="G129" s="388">
        <f>SUM(G124:G128)</f>
        <v>30290</v>
      </c>
    </row>
    <row r="130" spans="1:8" s="6" customFormat="1" ht="15" customHeight="1" x14ac:dyDescent="0.25">
      <c r="A130" s="389"/>
      <c r="B130" s="389" t="s">
        <v>1135</v>
      </c>
      <c r="C130" s="388">
        <f t="shared" ref="C130:G130" si="22">C129+C123</f>
        <v>176475.40557999999</v>
      </c>
      <c r="D130" s="388">
        <f t="shared" si="22"/>
        <v>178772.68166370003</v>
      </c>
      <c r="E130" s="388">
        <f t="shared" si="11"/>
        <v>14897.723471975003</v>
      </c>
      <c r="F130" s="388">
        <f t="shared" si="22"/>
        <v>13911</v>
      </c>
      <c r="G130" s="388">
        <f t="shared" si="22"/>
        <v>178981.17166370002</v>
      </c>
    </row>
    <row r="132" spans="1:8" s="117" customFormat="1" ht="30" x14ac:dyDescent="0.2">
      <c r="A132" s="118"/>
      <c r="B132" s="284"/>
      <c r="C132" s="285" t="s">
        <v>1134</v>
      </c>
      <c r="D132" s="285" t="s">
        <v>1156</v>
      </c>
      <c r="E132" s="286" t="s">
        <v>1170</v>
      </c>
      <c r="F132" s="286" t="s">
        <v>1169</v>
      </c>
      <c r="G132" s="286" t="s">
        <v>1162</v>
      </c>
    </row>
    <row r="133" spans="1:8" ht="15" x14ac:dyDescent="0.25">
      <c r="A133" s="3"/>
      <c r="B133" s="3" t="s">
        <v>1136</v>
      </c>
      <c r="C133" s="235">
        <f>C130</f>
        <v>176475.40557999999</v>
      </c>
      <c r="D133" s="235">
        <f>D130</f>
        <v>178772.68166370003</v>
      </c>
      <c r="E133" s="287">
        <f>E130</f>
        <v>14897.723471975003</v>
      </c>
      <c r="F133" s="28">
        <f>F130</f>
        <v>13911</v>
      </c>
      <c r="G133" s="28">
        <f>G130</f>
        <v>178981.17166370002</v>
      </c>
    </row>
    <row r="134" spans="1:8" x14ac:dyDescent="0.2">
      <c r="A134" s="18">
        <v>1721200110</v>
      </c>
      <c r="B134" s="429" t="s">
        <v>1192</v>
      </c>
      <c r="C134" s="211">
        <f>C31+C32</f>
        <v>4321</v>
      </c>
      <c r="D134" s="211">
        <f>D31+D32</f>
        <v>4385.8149999999996</v>
      </c>
      <c r="E134" s="211">
        <f t="shared" ref="E134:F134" si="23">E31+E32</f>
        <v>365.48458333333332</v>
      </c>
      <c r="F134" s="211">
        <f t="shared" si="23"/>
        <v>337</v>
      </c>
      <c r="G134" s="431">
        <f>D134</f>
        <v>4385.8149999999996</v>
      </c>
    </row>
    <row r="135" spans="1:8" x14ac:dyDescent="0.2">
      <c r="A135" s="18">
        <v>1721100110</v>
      </c>
      <c r="B135" s="429"/>
      <c r="C135" s="211"/>
      <c r="D135" s="211"/>
      <c r="E135" s="288"/>
      <c r="F135" s="3"/>
      <c r="G135" s="432"/>
    </row>
    <row r="136" spans="1:8" x14ac:dyDescent="0.2">
      <c r="A136" s="3">
        <v>1731000110</v>
      </c>
      <c r="B136" s="430" t="s">
        <v>694</v>
      </c>
      <c r="C136" s="425">
        <v>2208</v>
      </c>
      <c r="D136" s="425">
        <v>2000</v>
      </c>
      <c r="E136" s="423">
        <f>D136/12</f>
        <v>166.66666666666666</v>
      </c>
      <c r="F136" s="31">
        <v>54</v>
      </c>
      <c r="G136" s="421">
        <v>0</v>
      </c>
    </row>
    <row r="137" spans="1:8" x14ac:dyDescent="0.2">
      <c r="A137" s="3">
        <v>1733000110</v>
      </c>
      <c r="B137" s="430"/>
      <c r="C137" s="426"/>
      <c r="D137" s="426"/>
      <c r="E137" s="424"/>
      <c r="F137" s="31">
        <v>188</v>
      </c>
      <c r="G137" s="422"/>
    </row>
    <row r="138" spans="1:8" ht="15" x14ac:dyDescent="0.25">
      <c r="A138" s="3">
        <v>1914000110</v>
      </c>
      <c r="B138" s="247" t="s">
        <v>695</v>
      </c>
      <c r="C138" s="211">
        <f>C113</f>
        <v>254</v>
      </c>
      <c r="D138" s="211">
        <f>D113</f>
        <v>257.81</v>
      </c>
      <c r="E138" s="211">
        <f t="shared" ref="E138:F138" si="24">E113</f>
        <v>21.484166666666667</v>
      </c>
      <c r="F138" s="211">
        <f t="shared" si="24"/>
        <v>21</v>
      </c>
      <c r="G138" s="3">
        <v>258</v>
      </c>
    </row>
    <row r="139" spans="1:8" ht="15" x14ac:dyDescent="0.25">
      <c r="A139" s="434" t="s">
        <v>1137</v>
      </c>
      <c r="B139" s="435"/>
      <c r="C139" s="236">
        <f>C133-C134-C136-C138</f>
        <v>169692.40557999999</v>
      </c>
      <c r="D139" s="236">
        <f t="shared" ref="D139:F139" si="25">D133-D134-D136-D138</f>
        <v>172129.05666370003</v>
      </c>
      <c r="E139" s="236">
        <f t="shared" si="25"/>
        <v>14344.088055308337</v>
      </c>
      <c r="F139" s="236">
        <f t="shared" si="25"/>
        <v>13499</v>
      </c>
      <c r="G139" s="308">
        <f>G133-G134-G138</f>
        <v>174337.35666370002</v>
      </c>
    </row>
    <row r="143" spans="1:8" ht="18" x14ac:dyDescent="0.25">
      <c r="C143" s="213"/>
      <c r="D143" s="213"/>
      <c r="E143" s="213"/>
      <c r="F143" s="213"/>
      <c r="G143" s="213"/>
      <c r="H143" s="29"/>
    </row>
  </sheetData>
  <autoFilter ref="C4:D4" xr:uid="{C3A8E1C1-93BA-4B9E-8194-2115289202B0}"/>
  <mergeCells count="29">
    <mergeCell ref="A139:B139"/>
    <mergeCell ref="A99:B99"/>
    <mergeCell ref="A105:B105"/>
    <mergeCell ref="A107:B107"/>
    <mergeCell ref="A54:B54"/>
    <mergeCell ref="A6:B6"/>
    <mergeCell ref="A14:B14"/>
    <mergeCell ref="A20:B20"/>
    <mergeCell ref="A29:B29"/>
    <mergeCell ref="A2:G2"/>
    <mergeCell ref="A34:B34"/>
    <mergeCell ref="A37:B37"/>
    <mergeCell ref="A43:B43"/>
    <mergeCell ref="A45:B45"/>
    <mergeCell ref="A48:B48"/>
    <mergeCell ref="G136:G137"/>
    <mergeCell ref="E136:E137"/>
    <mergeCell ref="D136:D137"/>
    <mergeCell ref="C136:C137"/>
    <mergeCell ref="A51:B51"/>
    <mergeCell ref="A110:B110"/>
    <mergeCell ref="A112:B112"/>
    <mergeCell ref="B134:B135"/>
    <mergeCell ref="B136:B137"/>
    <mergeCell ref="A118:B118"/>
    <mergeCell ref="A120:B120"/>
    <mergeCell ref="A129:B129"/>
    <mergeCell ref="A114:B114"/>
    <mergeCell ref="G134:G135"/>
  </mergeCells>
  <phoneticPr fontId="31" type="noConversion"/>
  <pageMargins left="0.23622047244094491" right="0.23622047244094491" top="0.55118110236220474" bottom="0.31496062992125984" header="0.31496062992125984" footer="0.31496062992125984"/>
  <pageSetup paperSize="9" scale="90" firstPageNumber="8" fitToHeight="0" orientation="portrait" useFirstPageNumber="1" r:id="rId1"/>
  <headerFooter>
    <oddFooter>עמוד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10">
    <pageSetUpPr fitToPage="1"/>
  </sheetPr>
  <dimension ref="A1:L38"/>
  <sheetViews>
    <sheetView rightToLeft="1" zoomScale="106" zoomScaleNormal="106" workbookViewId="0">
      <selection activeCell="G7" sqref="G7"/>
    </sheetView>
  </sheetViews>
  <sheetFormatPr defaultRowHeight="14.25" x14ac:dyDescent="0.2"/>
  <cols>
    <col min="1" max="1" width="4.125" customWidth="1"/>
    <col min="2" max="2" width="11.25" customWidth="1"/>
    <col min="3" max="3" width="19.25" customWidth="1"/>
    <col min="4" max="4" width="11.625" customWidth="1"/>
    <col min="5" max="5" width="13.25" customWidth="1"/>
    <col min="6" max="6" width="11" customWidth="1"/>
    <col min="7" max="7" width="11.625" bestFit="1" customWidth="1"/>
    <col min="8" max="8" width="13" customWidth="1"/>
    <col min="9" max="9" width="10.625" bestFit="1" customWidth="1"/>
    <col min="10" max="10" width="12.625" customWidth="1"/>
    <col min="12" max="14" width="11.125" bestFit="1" customWidth="1"/>
  </cols>
  <sheetData>
    <row r="1" spans="1:12" ht="23.25" x14ac:dyDescent="0.2">
      <c r="B1" s="7">
        <v>410</v>
      </c>
      <c r="C1" s="436" t="s">
        <v>429</v>
      </c>
      <c r="D1" s="436"/>
      <c r="E1" s="436"/>
      <c r="F1" s="436"/>
      <c r="G1" s="436"/>
      <c r="H1" s="436"/>
    </row>
    <row r="3" spans="1:12" s="117" customFormat="1" ht="52.15" customHeight="1" x14ac:dyDescent="0.2">
      <c r="A3" s="123" t="s">
        <v>596</v>
      </c>
      <c r="B3" s="123" t="s">
        <v>430</v>
      </c>
      <c r="C3" s="123" t="s">
        <v>385</v>
      </c>
      <c r="D3" s="113" t="s">
        <v>1159</v>
      </c>
      <c r="E3" s="113" t="s">
        <v>1156</v>
      </c>
      <c r="F3" s="175" t="s">
        <v>1160</v>
      </c>
      <c r="G3" s="175" t="s">
        <v>1161</v>
      </c>
      <c r="H3" s="175" t="s">
        <v>1162</v>
      </c>
    </row>
    <row r="4" spans="1:12" x14ac:dyDescent="0.2">
      <c r="A4" s="3">
        <v>1</v>
      </c>
      <c r="B4" s="3">
        <v>1939000410</v>
      </c>
      <c r="C4" s="3" t="s">
        <v>390</v>
      </c>
      <c r="D4" s="163">
        <v>84</v>
      </c>
      <c r="E4" s="118">
        <v>84</v>
      </c>
      <c r="F4" s="118">
        <f>E4/12</f>
        <v>7</v>
      </c>
      <c r="G4" s="118">
        <v>0</v>
      </c>
      <c r="H4" s="118">
        <f>E4</f>
        <v>84</v>
      </c>
      <c r="J4" s="1"/>
      <c r="K4" s="1"/>
      <c r="L4" s="1"/>
    </row>
    <row r="5" spans="1:12" ht="15" x14ac:dyDescent="0.25">
      <c r="A5" s="74"/>
      <c r="B5" s="417" t="s">
        <v>419</v>
      </c>
      <c r="C5" s="417"/>
      <c r="D5" s="37">
        <f t="shared" ref="D5" si="0">SUM(D4)</f>
        <v>84</v>
      </c>
      <c r="E5" s="76">
        <f>E4</f>
        <v>84</v>
      </c>
      <c r="F5" s="76">
        <f>SUM(F4)</f>
        <v>7</v>
      </c>
      <c r="G5" s="76">
        <f>SUM(G4)</f>
        <v>0</v>
      </c>
      <c r="H5" s="76">
        <f>SUM(H4)</f>
        <v>84</v>
      </c>
    </row>
    <row r="8" spans="1:12" ht="20.25" x14ac:dyDescent="0.2">
      <c r="B8" s="7">
        <v>440</v>
      </c>
      <c r="C8" s="437" t="s">
        <v>1075</v>
      </c>
      <c r="D8" s="437"/>
      <c r="E8" s="437"/>
      <c r="F8" s="437"/>
      <c r="G8" s="437"/>
      <c r="H8" s="437"/>
    </row>
    <row r="11" spans="1:12" s="124" customFormat="1" ht="47.45" customHeight="1" x14ac:dyDescent="0.2">
      <c r="A11" s="123" t="s">
        <v>596</v>
      </c>
      <c r="B11" s="123" t="s">
        <v>430</v>
      </c>
      <c r="C11" s="123" t="s">
        <v>385</v>
      </c>
      <c r="D11" s="113" t="s">
        <v>1159</v>
      </c>
      <c r="E11" s="113" t="s">
        <v>1156</v>
      </c>
      <c r="F11" s="175" t="s">
        <v>1160</v>
      </c>
      <c r="G11" s="175" t="s">
        <v>1161</v>
      </c>
      <c r="H11" s="175" t="s">
        <v>1162</v>
      </c>
    </row>
    <row r="12" spans="1:12" x14ac:dyDescent="0.2">
      <c r="A12" s="3">
        <v>1</v>
      </c>
      <c r="B12" s="3">
        <v>1767000440</v>
      </c>
      <c r="C12" s="3" t="s">
        <v>255</v>
      </c>
      <c r="D12" s="118">
        <v>1200</v>
      </c>
      <c r="E12" s="118">
        <v>1200</v>
      </c>
      <c r="F12" s="163">
        <f>E12/12</f>
        <v>100</v>
      </c>
      <c r="G12" s="118">
        <v>206</v>
      </c>
      <c r="H12" s="118">
        <f>E12</f>
        <v>1200</v>
      </c>
      <c r="J12" s="1"/>
      <c r="K12" s="1"/>
      <c r="L12" s="1"/>
    </row>
    <row r="13" spans="1:12" x14ac:dyDescent="0.2">
      <c r="A13" s="3">
        <v>2</v>
      </c>
      <c r="B13" s="3">
        <v>1767100440</v>
      </c>
      <c r="C13" s="3" t="s">
        <v>256</v>
      </c>
      <c r="D13" s="118">
        <v>2200</v>
      </c>
      <c r="E13" s="118">
        <v>2200</v>
      </c>
      <c r="F13" s="163">
        <f t="shared" ref="F13:F14" si="1">E13/12</f>
        <v>183.33333333333334</v>
      </c>
      <c r="G13" s="118">
        <v>887</v>
      </c>
      <c r="H13" s="118">
        <f t="shared" ref="H13:H14" si="2">E13</f>
        <v>2200</v>
      </c>
      <c r="J13" s="1"/>
      <c r="K13" s="1"/>
      <c r="L13" s="1"/>
    </row>
    <row r="14" spans="1:12" x14ac:dyDescent="0.2">
      <c r="A14" s="3">
        <v>3</v>
      </c>
      <c r="B14" s="3">
        <v>1723200440</v>
      </c>
      <c r="C14" s="3" t="s">
        <v>526</v>
      </c>
      <c r="D14" s="118">
        <v>10</v>
      </c>
      <c r="E14" s="118">
        <v>10</v>
      </c>
      <c r="F14" s="163">
        <f t="shared" si="1"/>
        <v>0.83333333333333337</v>
      </c>
      <c r="G14" s="118">
        <v>0</v>
      </c>
      <c r="H14" s="118">
        <f t="shared" si="2"/>
        <v>10</v>
      </c>
      <c r="J14" s="1"/>
      <c r="K14" s="1"/>
      <c r="L14" s="1"/>
    </row>
    <row r="15" spans="1:12" ht="15" x14ac:dyDescent="0.25">
      <c r="A15" s="74"/>
      <c r="B15" s="417" t="s">
        <v>419</v>
      </c>
      <c r="C15" s="417"/>
      <c r="D15" s="168">
        <f t="shared" ref="D15" si="3">SUM(D12:D14)</f>
        <v>3410</v>
      </c>
      <c r="E15" s="169">
        <f>SUM(E12:E14)</f>
        <v>3410</v>
      </c>
      <c r="F15" s="169">
        <f>SUM(F12:F14)</f>
        <v>284.16666666666669</v>
      </c>
      <c r="G15" s="169">
        <f>SUM(G12:G14)</f>
        <v>1093</v>
      </c>
      <c r="H15" s="289">
        <f>SUM(H12:H14)</f>
        <v>3410</v>
      </c>
      <c r="J15" s="1"/>
    </row>
    <row r="18" spans="1:12" ht="23.25" x14ac:dyDescent="0.2">
      <c r="B18" s="7">
        <v>513</v>
      </c>
      <c r="C18" s="436" t="s">
        <v>396</v>
      </c>
      <c r="D18" s="436"/>
      <c r="E18" s="436"/>
      <c r="F18" s="436"/>
      <c r="G18" s="436"/>
      <c r="H18" s="436"/>
    </row>
    <row r="20" spans="1:12" s="124" customFormat="1" ht="47.25" x14ac:dyDescent="0.2">
      <c r="A20" s="123" t="s">
        <v>596</v>
      </c>
      <c r="B20" s="123" t="s">
        <v>430</v>
      </c>
      <c r="C20" s="123" t="s">
        <v>385</v>
      </c>
      <c r="D20" s="113" t="s">
        <v>1159</v>
      </c>
      <c r="E20" s="113" t="s">
        <v>1156</v>
      </c>
      <c r="F20" s="175" t="s">
        <v>1160</v>
      </c>
      <c r="G20" s="175" t="s">
        <v>1161</v>
      </c>
      <c r="H20" s="175" t="s">
        <v>1162</v>
      </c>
    </row>
    <row r="21" spans="1:12" x14ac:dyDescent="0.2">
      <c r="A21" s="3">
        <v>1</v>
      </c>
      <c r="B21" s="3">
        <v>1754000513</v>
      </c>
      <c r="C21" s="3" t="s">
        <v>248</v>
      </c>
      <c r="D21" s="25">
        <v>17</v>
      </c>
      <c r="E21" s="166">
        <v>17</v>
      </c>
      <c r="F21" s="255">
        <f>E21/12</f>
        <v>1.4166666666666667</v>
      </c>
      <c r="G21" s="166">
        <v>0</v>
      </c>
      <c r="H21" s="166">
        <f>E21</f>
        <v>17</v>
      </c>
      <c r="J21" s="1"/>
      <c r="K21" s="1"/>
      <c r="L21" s="1"/>
    </row>
    <row r="22" spans="1:12" ht="15" x14ac:dyDescent="0.25">
      <c r="A22" s="74"/>
      <c r="B22" s="417" t="s">
        <v>419</v>
      </c>
      <c r="C22" s="417"/>
      <c r="D22" s="105">
        <f>SUM(D20:D21)</f>
        <v>17</v>
      </c>
      <c r="E22" s="105">
        <f>E21</f>
        <v>17</v>
      </c>
      <c r="F22" s="105">
        <f>SUM(F21)</f>
        <v>1.4166666666666667</v>
      </c>
      <c r="G22" s="105">
        <f>SUM(G21)</f>
        <v>0</v>
      </c>
      <c r="H22" s="105">
        <f>SUM(H21)</f>
        <v>17</v>
      </c>
    </row>
    <row r="24" spans="1:12" ht="23.25" x14ac:dyDescent="0.2">
      <c r="B24" s="7">
        <v>522</v>
      </c>
      <c r="C24" s="436" t="s">
        <v>431</v>
      </c>
      <c r="D24" s="436"/>
      <c r="E24" s="436"/>
      <c r="F24" s="436"/>
      <c r="G24" s="436"/>
      <c r="H24" s="436"/>
    </row>
    <row r="26" spans="1:12" s="124" customFormat="1" ht="47.25" x14ac:dyDescent="0.2">
      <c r="A26" s="123" t="s">
        <v>596</v>
      </c>
      <c r="B26" s="123" t="s">
        <v>430</v>
      </c>
      <c r="C26" s="123" t="s">
        <v>385</v>
      </c>
      <c r="D26" s="113" t="s">
        <v>1159</v>
      </c>
      <c r="E26" s="113" t="s">
        <v>1156</v>
      </c>
      <c r="F26" s="175" t="s">
        <v>1160</v>
      </c>
      <c r="G26" s="175" t="s">
        <v>1161</v>
      </c>
      <c r="H26" s="175" t="s">
        <v>1162</v>
      </c>
    </row>
    <row r="27" spans="1:12" x14ac:dyDescent="0.2">
      <c r="A27" s="3">
        <v>1</v>
      </c>
      <c r="B27" s="3">
        <v>1613000522</v>
      </c>
      <c r="C27" s="3" t="s">
        <v>168</v>
      </c>
      <c r="D27" s="25">
        <v>2</v>
      </c>
      <c r="E27" s="25">
        <v>2</v>
      </c>
      <c r="F27" s="72">
        <f>E27/12</f>
        <v>0.16666666666666666</v>
      </c>
      <c r="G27" s="25">
        <v>0</v>
      </c>
      <c r="H27" s="25">
        <f>E27</f>
        <v>2</v>
      </c>
      <c r="J27" s="1"/>
      <c r="K27" s="1"/>
      <c r="L27" s="1"/>
    </row>
    <row r="28" spans="1:12" x14ac:dyDescent="0.2">
      <c r="A28" s="3">
        <v>2</v>
      </c>
      <c r="B28" s="3">
        <v>1617000522</v>
      </c>
      <c r="C28" s="3" t="s">
        <v>179</v>
      </c>
      <c r="D28" s="25">
        <v>0</v>
      </c>
      <c r="E28" s="25">
        <v>0</v>
      </c>
      <c r="F28" s="72">
        <f t="shared" ref="F28:F30" si="4">E28/12</f>
        <v>0</v>
      </c>
      <c r="G28" s="25">
        <v>0</v>
      </c>
      <c r="H28" s="25">
        <f t="shared" ref="H28:H30" si="5">E28</f>
        <v>0</v>
      </c>
      <c r="I28" s="1"/>
      <c r="J28" s="1"/>
      <c r="K28" s="1"/>
      <c r="L28" s="1"/>
    </row>
    <row r="29" spans="1:12" x14ac:dyDescent="0.2">
      <c r="A29" s="3">
        <v>3</v>
      </c>
      <c r="B29" s="3">
        <v>1621000522</v>
      </c>
      <c r="C29" s="3" t="s">
        <v>179</v>
      </c>
      <c r="D29" s="25">
        <v>0</v>
      </c>
      <c r="E29" s="25">
        <v>0</v>
      </c>
      <c r="F29" s="72">
        <f t="shared" si="4"/>
        <v>0</v>
      </c>
      <c r="G29" s="25">
        <v>0</v>
      </c>
      <c r="H29" s="25">
        <f t="shared" si="5"/>
        <v>0</v>
      </c>
      <c r="J29" s="1"/>
    </row>
    <row r="30" spans="1:12" ht="15" x14ac:dyDescent="0.25">
      <c r="A30" s="74"/>
      <c r="B30" s="417" t="s">
        <v>419</v>
      </c>
      <c r="C30" s="417"/>
      <c r="D30" s="104">
        <f t="shared" ref="D30:E30" si="6">SUM(D27:D29)</f>
        <v>2</v>
      </c>
      <c r="E30" s="104">
        <f t="shared" si="6"/>
        <v>2</v>
      </c>
      <c r="F30" s="105">
        <f t="shared" si="4"/>
        <v>0.16666666666666666</v>
      </c>
      <c r="G30" s="104">
        <f>SUM(G27:G29)</f>
        <v>0</v>
      </c>
      <c r="H30" s="104">
        <f t="shared" si="5"/>
        <v>2</v>
      </c>
    </row>
    <row r="38" spans="4:4" ht="18" x14ac:dyDescent="0.25">
      <c r="D38" s="5"/>
    </row>
  </sheetData>
  <mergeCells count="8">
    <mergeCell ref="B30:C30"/>
    <mergeCell ref="C18:H18"/>
    <mergeCell ref="C8:H8"/>
    <mergeCell ref="C1:H1"/>
    <mergeCell ref="C24:H24"/>
    <mergeCell ref="B5:C5"/>
    <mergeCell ref="B15:C15"/>
    <mergeCell ref="B22:C22"/>
  </mergeCells>
  <pageMargins left="0.27559055118110237" right="6.6666666666666666E-2" top="0.74803149606299213" bottom="0.74803149606299213" header="0.31496062992125984" footer="0.31496062992125984"/>
  <pageSetup paperSize="9" scale="96" firstPageNumber="12" orientation="portrait" useFirstPageNumber="1" r:id="rId1"/>
  <headerFooter>
    <oddFooter>עמוד &amp;P</oddFooter>
  </headerFooter>
  <colBreaks count="1" manualBreakCount="1">
    <brk id="8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1">
    <pageSetUpPr fitToPage="1"/>
  </sheetPr>
  <dimension ref="A2:L111"/>
  <sheetViews>
    <sheetView rightToLeft="1" topLeftCell="A4" zoomScale="110" zoomScaleNormal="110" zoomScaleSheetLayoutView="65" workbookViewId="0">
      <selection activeCell="F105" sqref="A4:H111"/>
    </sheetView>
  </sheetViews>
  <sheetFormatPr defaultRowHeight="14.25" x14ac:dyDescent="0.2"/>
  <cols>
    <col min="1" max="1" width="4.125" customWidth="1"/>
    <col min="2" max="2" width="12.625" bestFit="1" customWidth="1"/>
    <col min="3" max="3" width="25.25" customWidth="1"/>
    <col min="4" max="4" width="13.5" customWidth="1"/>
    <col min="5" max="5" width="13.625" customWidth="1"/>
    <col min="6" max="6" width="13" customWidth="1"/>
    <col min="7" max="7" width="11.125" customWidth="1"/>
    <col min="8" max="8" width="13.25" customWidth="1"/>
    <col min="9" max="10" width="8.75" customWidth="1"/>
    <col min="11" max="11" width="6.625" customWidth="1"/>
    <col min="12" max="12" width="12.125" customWidth="1"/>
  </cols>
  <sheetData>
    <row r="2" spans="1:12" ht="23.25" x14ac:dyDescent="0.3">
      <c r="B2" s="20">
        <v>840</v>
      </c>
      <c r="C2" s="436" t="s">
        <v>469</v>
      </c>
      <c r="D2" s="436"/>
      <c r="E2" s="436"/>
      <c r="F2" s="436"/>
      <c r="G2" s="436"/>
      <c r="H2" s="436"/>
      <c r="I2" s="274"/>
      <c r="J2" s="274"/>
      <c r="K2" s="274"/>
      <c r="L2" s="274"/>
    </row>
    <row r="3" spans="1:12" ht="19.899999999999999" customHeight="1" x14ac:dyDescent="0.2">
      <c r="D3" s="117"/>
      <c r="E3" s="117"/>
      <c r="F3" s="117"/>
      <c r="G3" s="117"/>
      <c r="H3" s="117"/>
      <c r="I3" s="117"/>
      <c r="J3" s="117"/>
      <c r="K3" s="117"/>
      <c r="L3" s="117"/>
    </row>
    <row r="4" spans="1:12" s="124" customFormat="1" ht="47.45" customHeight="1" x14ac:dyDescent="0.2">
      <c r="A4" s="328" t="s">
        <v>596</v>
      </c>
      <c r="B4" s="328" t="s">
        <v>1146</v>
      </c>
      <c r="C4" s="328" t="s">
        <v>1</v>
      </c>
      <c r="D4" s="330" t="s">
        <v>1159</v>
      </c>
      <c r="E4" s="330" t="s">
        <v>1156</v>
      </c>
      <c r="F4" s="331" t="s">
        <v>1160</v>
      </c>
      <c r="G4" s="331" t="s">
        <v>1161</v>
      </c>
      <c r="H4" s="331" t="s">
        <v>1162</v>
      </c>
    </row>
    <row r="5" spans="1:12" x14ac:dyDescent="0.2">
      <c r="A5" s="189">
        <v>1</v>
      </c>
      <c r="B5" s="189">
        <v>1841020840</v>
      </c>
      <c r="C5" s="189" t="s">
        <v>55</v>
      </c>
      <c r="D5" s="341">
        <v>136</v>
      </c>
      <c r="E5" s="189">
        <v>136</v>
      </c>
      <c r="F5" s="253">
        <f>E5/12</f>
        <v>11.333333333333334</v>
      </c>
      <c r="G5" s="189">
        <v>0</v>
      </c>
      <c r="H5" s="189">
        <v>82</v>
      </c>
    </row>
    <row r="6" spans="1:12" x14ac:dyDescent="0.2">
      <c r="A6" s="189">
        <v>2</v>
      </c>
      <c r="B6" s="189">
        <v>1841050840</v>
      </c>
      <c r="C6" s="189" t="s">
        <v>863</v>
      </c>
      <c r="D6" s="341">
        <v>219</v>
      </c>
      <c r="E6" s="189">
        <v>219</v>
      </c>
      <c r="F6" s="253">
        <f t="shared" ref="F6:F70" si="0">E6/12</f>
        <v>18.25</v>
      </c>
      <c r="G6" s="189">
        <v>0</v>
      </c>
      <c r="H6" s="189">
        <f>E6</f>
        <v>219</v>
      </c>
    </row>
    <row r="7" spans="1:12" x14ac:dyDescent="0.2">
      <c r="A7" s="189">
        <v>3</v>
      </c>
      <c r="B7" s="189">
        <v>1841200840</v>
      </c>
      <c r="C7" s="189" t="s">
        <v>56</v>
      </c>
      <c r="D7" s="341">
        <v>454</v>
      </c>
      <c r="E7" s="189">
        <v>454</v>
      </c>
      <c r="F7" s="253">
        <f t="shared" si="0"/>
        <v>37.833333333333336</v>
      </c>
      <c r="G7" s="189">
        <v>0</v>
      </c>
      <c r="H7" s="189">
        <v>288</v>
      </c>
    </row>
    <row r="8" spans="1:12" x14ac:dyDescent="0.2">
      <c r="A8" s="189">
        <v>4</v>
      </c>
      <c r="B8" s="189">
        <v>1841300840</v>
      </c>
      <c r="C8" s="189" t="s">
        <v>1043</v>
      </c>
      <c r="D8" s="341">
        <v>73</v>
      </c>
      <c r="E8" s="189">
        <v>73</v>
      </c>
      <c r="F8" s="253">
        <f t="shared" si="0"/>
        <v>6.083333333333333</v>
      </c>
      <c r="G8" s="189">
        <v>0</v>
      </c>
      <c r="H8" s="189">
        <f>E8</f>
        <v>73</v>
      </c>
    </row>
    <row r="9" spans="1:12" x14ac:dyDescent="0.2">
      <c r="A9" s="189">
        <v>5</v>
      </c>
      <c r="B9" s="189">
        <v>1842200840</v>
      </c>
      <c r="C9" s="189" t="s">
        <v>1172</v>
      </c>
      <c r="D9" s="341">
        <v>0</v>
      </c>
      <c r="E9" s="189">
        <v>0</v>
      </c>
      <c r="F9" s="253">
        <v>0</v>
      </c>
      <c r="G9" s="189">
        <v>0</v>
      </c>
      <c r="H9" s="189">
        <v>38</v>
      </c>
    </row>
    <row r="10" spans="1:12" x14ac:dyDescent="0.2">
      <c r="A10" s="189">
        <v>6</v>
      </c>
      <c r="B10" s="189">
        <v>1842210840</v>
      </c>
      <c r="C10" s="189" t="s">
        <v>57</v>
      </c>
      <c r="D10" s="341">
        <v>467</v>
      </c>
      <c r="E10" s="189">
        <v>467</v>
      </c>
      <c r="F10" s="253">
        <f t="shared" si="0"/>
        <v>38.916666666666664</v>
      </c>
      <c r="G10" s="189">
        <v>2</v>
      </c>
      <c r="H10" s="189">
        <v>107</v>
      </c>
    </row>
    <row r="11" spans="1:12" x14ac:dyDescent="0.2">
      <c r="A11" s="189">
        <v>7</v>
      </c>
      <c r="B11" s="189">
        <v>1842220840</v>
      </c>
      <c r="C11" s="189" t="s">
        <v>324</v>
      </c>
      <c r="D11" s="341">
        <v>89</v>
      </c>
      <c r="E11" s="189">
        <v>89</v>
      </c>
      <c r="F11" s="253">
        <f t="shared" si="0"/>
        <v>7.416666666666667</v>
      </c>
      <c r="G11" s="189">
        <v>21</v>
      </c>
      <c r="H11" s="189">
        <f>E11</f>
        <v>89</v>
      </c>
    </row>
    <row r="12" spans="1:12" x14ac:dyDescent="0.2">
      <c r="A12" s="189">
        <v>8</v>
      </c>
      <c r="B12" s="189">
        <v>1842240840</v>
      </c>
      <c r="C12" s="189" t="s">
        <v>325</v>
      </c>
      <c r="D12" s="341">
        <v>204</v>
      </c>
      <c r="E12" s="189">
        <v>204</v>
      </c>
      <c r="F12" s="253">
        <f t="shared" si="0"/>
        <v>17</v>
      </c>
      <c r="G12" s="189">
        <v>6</v>
      </c>
      <c r="H12" s="189">
        <f t="shared" ref="H12:H13" si="1">E12</f>
        <v>204</v>
      </c>
    </row>
    <row r="13" spans="1:12" x14ac:dyDescent="0.2">
      <c r="A13" s="189">
        <v>9</v>
      </c>
      <c r="B13" s="189">
        <v>1842290840</v>
      </c>
      <c r="C13" s="189" t="s">
        <v>59</v>
      </c>
      <c r="D13" s="341">
        <f>51.3-0.3</f>
        <v>51</v>
      </c>
      <c r="E13" s="189">
        <v>51</v>
      </c>
      <c r="F13" s="253">
        <f t="shared" si="0"/>
        <v>4.25</v>
      </c>
      <c r="G13" s="189">
        <v>7</v>
      </c>
      <c r="H13" s="189">
        <f t="shared" si="1"/>
        <v>51</v>
      </c>
    </row>
    <row r="14" spans="1:12" s="26" customFormat="1" x14ac:dyDescent="0.2">
      <c r="A14" s="189">
        <v>10</v>
      </c>
      <c r="B14" s="189">
        <v>1842292840</v>
      </c>
      <c r="C14" s="189" t="s">
        <v>855</v>
      </c>
      <c r="D14" s="341">
        <v>114</v>
      </c>
      <c r="E14" s="189">
        <v>114</v>
      </c>
      <c r="F14" s="253">
        <f t="shared" si="0"/>
        <v>9.5</v>
      </c>
      <c r="G14" s="189">
        <v>14</v>
      </c>
      <c r="H14" s="189">
        <f>E14</f>
        <v>114</v>
      </c>
    </row>
    <row r="15" spans="1:12" s="26" customFormat="1" x14ac:dyDescent="0.2">
      <c r="A15" s="189">
        <v>11</v>
      </c>
      <c r="B15" s="189">
        <v>1842293840</v>
      </c>
      <c r="C15" s="189" t="s">
        <v>864</v>
      </c>
      <c r="D15" s="341">
        <v>41</v>
      </c>
      <c r="E15" s="189">
        <v>41</v>
      </c>
      <c r="F15" s="253">
        <f t="shared" si="0"/>
        <v>3.4166666666666665</v>
      </c>
      <c r="G15" s="189">
        <v>0</v>
      </c>
      <c r="H15" s="189">
        <v>4</v>
      </c>
    </row>
    <row r="16" spans="1:12" x14ac:dyDescent="0.2">
      <c r="A16" s="189">
        <v>12</v>
      </c>
      <c r="B16" s="189">
        <v>1842410840</v>
      </c>
      <c r="C16" s="189" t="s">
        <v>326</v>
      </c>
      <c r="D16" s="341">
        <v>178</v>
      </c>
      <c r="E16" s="189">
        <v>178</v>
      </c>
      <c r="F16" s="253">
        <f t="shared" si="0"/>
        <v>14.833333333333334</v>
      </c>
      <c r="G16" s="189">
        <v>0</v>
      </c>
      <c r="H16" s="189">
        <f>E16</f>
        <v>178</v>
      </c>
    </row>
    <row r="17" spans="1:8" x14ac:dyDescent="0.2">
      <c r="A17" s="189">
        <v>13</v>
      </c>
      <c r="B17" s="189">
        <v>1842420840</v>
      </c>
      <c r="C17" s="189" t="s">
        <v>327</v>
      </c>
      <c r="D17" s="341">
        <v>143</v>
      </c>
      <c r="E17" s="189">
        <v>143</v>
      </c>
      <c r="F17" s="253">
        <f t="shared" si="0"/>
        <v>11.916666666666666</v>
      </c>
      <c r="G17" s="189">
        <v>0</v>
      </c>
      <c r="H17" s="189">
        <f>E17</f>
        <v>143</v>
      </c>
    </row>
    <row r="18" spans="1:8" x14ac:dyDescent="0.2">
      <c r="A18" s="189">
        <v>14</v>
      </c>
      <c r="B18" s="189">
        <v>1842430840</v>
      </c>
      <c r="C18" s="189" t="s">
        <v>63</v>
      </c>
      <c r="D18" s="341">
        <v>363</v>
      </c>
      <c r="E18" s="189">
        <v>363</v>
      </c>
      <c r="F18" s="253">
        <f t="shared" si="0"/>
        <v>30.25</v>
      </c>
      <c r="G18" s="189">
        <v>0</v>
      </c>
      <c r="H18" s="189">
        <f t="shared" ref="H18:H19" si="2">E18</f>
        <v>363</v>
      </c>
    </row>
    <row r="19" spans="1:8" x14ac:dyDescent="0.2">
      <c r="A19" s="189">
        <v>15</v>
      </c>
      <c r="B19" s="189">
        <v>1842431840</v>
      </c>
      <c r="C19" s="189" t="s">
        <v>328</v>
      </c>
      <c r="D19" s="341">
        <v>33</v>
      </c>
      <c r="E19" s="189">
        <v>33</v>
      </c>
      <c r="F19" s="253">
        <f t="shared" si="0"/>
        <v>2.75</v>
      </c>
      <c r="G19" s="189">
        <v>0</v>
      </c>
      <c r="H19" s="189">
        <f t="shared" si="2"/>
        <v>33</v>
      </c>
    </row>
    <row r="20" spans="1:8" x14ac:dyDescent="0.2">
      <c r="A20" s="189">
        <v>16</v>
      </c>
      <c r="B20" s="189">
        <v>1842432840</v>
      </c>
      <c r="C20" s="189" t="s">
        <v>329</v>
      </c>
      <c r="D20" s="341">
        <v>151</v>
      </c>
      <c r="E20" s="189">
        <v>151</v>
      </c>
      <c r="F20" s="253">
        <f t="shared" si="0"/>
        <v>12.583333333333334</v>
      </c>
      <c r="G20" s="189">
        <v>0</v>
      </c>
      <c r="H20" s="189">
        <v>125</v>
      </c>
    </row>
    <row r="21" spans="1:8" x14ac:dyDescent="0.2">
      <c r="A21" s="189">
        <v>17</v>
      </c>
      <c r="B21" s="189">
        <v>1842433840</v>
      </c>
      <c r="C21" s="189" t="s">
        <v>65</v>
      </c>
      <c r="D21" s="341">
        <v>17</v>
      </c>
      <c r="E21" s="189">
        <v>17</v>
      </c>
      <c r="F21" s="253">
        <f t="shared" si="0"/>
        <v>1.4166666666666667</v>
      </c>
      <c r="G21" s="189">
        <v>0</v>
      </c>
      <c r="H21" s="189">
        <f>E21</f>
        <v>17</v>
      </c>
    </row>
    <row r="22" spans="1:8" x14ac:dyDescent="0.2">
      <c r="A22" s="189">
        <v>18</v>
      </c>
      <c r="B22" s="189">
        <v>1842441840</v>
      </c>
      <c r="C22" s="189" t="s">
        <v>66</v>
      </c>
      <c r="D22" s="341">
        <v>261</v>
      </c>
      <c r="E22" s="189">
        <v>261</v>
      </c>
      <c r="F22" s="253">
        <f t="shared" si="0"/>
        <v>21.75</v>
      </c>
      <c r="G22" s="189">
        <v>19</v>
      </c>
      <c r="H22" s="189">
        <f t="shared" ref="H22:H31" si="3">E22</f>
        <v>261</v>
      </c>
    </row>
    <row r="23" spans="1:8" s="26" customFormat="1" x14ac:dyDescent="0.2">
      <c r="A23" s="189">
        <v>19</v>
      </c>
      <c r="B23" s="189">
        <v>1842451840</v>
      </c>
      <c r="C23" s="189" t="s">
        <v>856</v>
      </c>
      <c r="D23" s="341">
        <v>34</v>
      </c>
      <c r="E23" s="189">
        <v>34</v>
      </c>
      <c r="F23" s="253">
        <f t="shared" si="0"/>
        <v>2.8333333333333335</v>
      </c>
      <c r="G23" s="189">
        <v>0</v>
      </c>
      <c r="H23" s="189">
        <f t="shared" si="3"/>
        <v>34</v>
      </c>
    </row>
    <row r="24" spans="1:8" s="26" customFormat="1" x14ac:dyDescent="0.2">
      <c r="A24" s="189">
        <v>20</v>
      </c>
      <c r="B24" s="189">
        <v>1842452840</v>
      </c>
      <c r="C24" s="189" t="s">
        <v>1028</v>
      </c>
      <c r="D24" s="341">
        <v>372</v>
      </c>
      <c r="E24" s="189">
        <v>372</v>
      </c>
      <c r="F24" s="253">
        <f t="shared" si="0"/>
        <v>31</v>
      </c>
      <c r="G24" s="189">
        <v>17</v>
      </c>
      <c r="H24" s="189">
        <f t="shared" si="3"/>
        <v>372</v>
      </c>
    </row>
    <row r="25" spans="1:8" s="26" customFormat="1" x14ac:dyDescent="0.2">
      <c r="A25" s="189">
        <v>21</v>
      </c>
      <c r="B25" s="189">
        <v>1842453840</v>
      </c>
      <c r="C25" s="189" t="s">
        <v>1044</v>
      </c>
      <c r="D25" s="376">
        <v>72</v>
      </c>
      <c r="E25" s="189">
        <v>72</v>
      </c>
      <c r="F25" s="253">
        <f t="shared" si="0"/>
        <v>6</v>
      </c>
      <c r="G25" s="189">
        <v>0</v>
      </c>
      <c r="H25" s="189">
        <f t="shared" si="3"/>
        <v>72</v>
      </c>
    </row>
    <row r="26" spans="1:8" x14ac:dyDescent="0.2">
      <c r="A26" s="189">
        <v>22</v>
      </c>
      <c r="B26" s="189">
        <v>1843501840</v>
      </c>
      <c r="C26" s="189" t="s">
        <v>353</v>
      </c>
      <c r="D26" s="341">
        <v>24</v>
      </c>
      <c r="E26" s="189">
        <v>24</v>
      </c>
      <c r="F26" s="253">
        <f t="shared" si="0"/>
        <v>2</v>
      </c>
      <c r="G26" s="189">
        <v>0</v>
      </c>
      <c r="H26" s="189">
        <f t="shared" si="3"/>
        <v>24</v>
      </c>
    </row>
    <row r="27" spans="1:8" x14ac:dyDescent="0.2">
      <c r="A27" s="189">
        <v>23</v>
      </c>
      <c r="B27" s="189">
        <v>1843502840</v>
      </c>
      <c r="C27" s="189" t="s">
        <v>586</v>
      </c>
      <c r="D27" s="341">
        <v>299</v>
      </c>
      <c r="E27" s="189">
        <v>299</v>
      </c>
      <c r="F27" s="253">
        <f t="shared" si="0"/>
        <v>24.916666666666668</v>
      </c>
      <c r="G27" s="189">
        <v>11</v>
      </c>
      <c r="H27" s="189">
        <f t="shared" si="3"/>
        <v>299</v>
      </c>
    </row>
    <row r="28" spans="1:8" x14ac:dyDescent="0.2">
      <c r="A28" s="189">
        <v>24</v>
      </c>
      <c r="B28" s="189">
        <v>1843510840</v>
      </c>
      <c r="C28" s="189" t="s">
        <v>71</v>
      </c>
      <c r="D28" s="341">
        <v>387</v>
      </c>
      <c r="E28" s="189">
        <v>387</v>
      </c>
      <c r="F28" s="253">
        <f t="shared" si="0"/>
        <v>32.25</v>
      </c>
      <c r="G28" s="189">
        <v>0</v>
      </c>
      <c r="H28" s="189">
        <f t="shared" si="3"/>
        <v>387</v>
      </c>
    </row>
    <row r="29" spans="1:8" x14ac:dyDescent="0.2">
      <c r="A29" s="189">
        <v>25</v>
      </c>
      <c r="B29" s="189">
        <v>1843520840</v>
      </c>
      <c r="C29" s="189" t="s">
        <v>330</v>
      </c>
      <c r="D29" s="341">
        <v>165</v>
      </c>
      <c r="E29" s="189">
        <v>165</v>
      </c>
      <c r="F29" s="253">
        <f t="shared" si="0"/>
        <v>13.75</v>
      </c>
      <c r="G29" s="189">
        <v>0</v>
      </c>
      <c r="H29" s="189">
        <f t="shared" si="3"/>
        <v>165</v>
      </c>
    </row>
    <row r="30" spans="1:8" x14ac:dyDescent="0.2">
      <c r="A30" s="189">
        <v>26</v>
      </c>
      <c r="B30" s="189">
        <v>1843530840</v>
      </c>
      <c r="C30" s="189" t="s">
        <v>73</v>
      </c>
      <c r="D30" s="341">
        <v>623</v>
      </c>
      <c r="E30" s="189">
        <v>623</v>
      </c>
      <c r="F30" s="253">
        <f t="shared" si="0"/>
        <v>51.916666666666664</v>
      </c>
      <c r="G30" s="189">
        <v>44</v>
      </c>
      <c r="H30" s="189">
        <f t="shared" si="3"/>
        <v>623</v>
      </c>
    </row>
    <row r="31" spans="1:8" x14ac:dyDescent="0.2">
      <c r="A31" s="189">
        <v>27</v>
      </c>
      <c r="B31" s="189">
        <v>1843532840</v>
      </c>
      <c r="C31" s="189" t="s">
        <v>331</v>
      </c>
      <c r="D31" s="341">
        <v>14</v>
      </c>
      <c r="E31" s="189">
        <v>14</v>
      </c>
      <c r="F31" s="253">
        <f t="shared" si="0"/>
        <v>1.1666666666666667</v>
      </c>
      <c r="G31" s="189">
        <v>0</v>
      </c>
      <c r="H31" s="189">
        <f t="shared" si="3"/>
        <v>14</v>
      </c>
    </row>
    <row r="32" spans="1:8" x14ac:dyDescent="0.2">
      <c r="A32" s="189">
        <v>28</v>
      </c>
      <c r="B32" s="189">
        <v>1843540840</v>
      </c>
      <c r="C32" s="189" t="s">
        <v>74</v>
      </c>
      <c r="D32" s="341">
        <v>230</v>
      </c>
      <c r="E32" s="189">
        <v>230</v>
      </c>
      <c r="F32" s="253">
        <f t="shared" si="0"/>
        <v>19.166666666666668</v>
      </c>
      <c r="G32" s="189">
        <v>0</v>
      </c>
      <c r="H32" s="189">
        <v>224</v>
      </c>
    </row>
    <row r="33" spans="1:8" x14ac:dyDescent="0.2">
      <c r="A33" s="189">
        <v>29</v>
      </c>
      <c r="B33" s="189">
        <v>1843550840</v>
      </c>
      <c r="C33" s="189" t="s">
        <v>75</v>
      </c>
      <c r="D33" s="341">
        <v>604</v>
      </c>
      <c r="E33" s="189">
        <v>604</v>
      </c>
      <c r="F33" s="253">
        <f t="shared" si="0"/>
        <v>50.333333333333336</v>
      </c>
      <c r="G33" s="189">
        <v>45</v>
      </c>
      <c r="H33" s="189">
        <f>E33</f>
        <v>604</v>
      </c>
    </row>
    <row r="34" spans="1:8" x14ac:dyDescent="0.2">
      <c r="A34" s="189">
        <v>30</v>
      </c>
      <c r="B34" s="189">
        <v>1843551840</v>
      </c>
      <c r="C34" s="189" t="s">
        <v>76</v>
      </c>
      <c r="D34" s="341">
        <v>437</v>
      </c>
      <c r="E34" s="189">
        <v>437</v>
      </c>
      <c r="F34" s="253">
        <f t="shared" si="0"/>
        <v>36.416666666666664</v>
      </c>
      <c r="G34" s="189">
        <v>0</v>
      </c>
      <c r="H34" s="189">
        <f>E34</f>
        <v>437</v>
      </c>
    </row>
    <row r="35" spans="1:8" s="26" customFormat="1" x14ac:dyDescent="0.2">
      <c r="A35" s="189">
        <v>31</v>
      </c>
      <c r="B35" s="189">
        <v>1843552840</v>
      </c>
      <c r="C35" s="189" t="s">
        <v>859</v>
      </c>
      <c r="D35" s="341">
        <v>130</v>
      </c>
      <c r="E35" s="189">
        <v>130</v>
      </c>
      <c r="F35" s="253">
        <f t="shared" si="0"/>
        <v>10.833333333333334</v>
      </c>
      <c r="G35" s="189">
        <v>3</v>
      </c>
      <c r="H35" s="189">
        <v>100</v>
      </c>
    </row>
    <row r="36" spans="1:8" s="26" customFormat="1" x14ac:dyDescent="0.2">
      <c r="A36" s="189">
        <v>32</v>
      </c>
      <c r="B36" s="189">
        <v>1843553840</v>
      </c>
      <c r="C36" s="189" t="s">
        <v>1173</v>
      </c>
      <c r="D36" s="341">
        <v>216</v>
      </c>
      <c r="E36" s="189">
        <v>216</v>
      </c>
      <c r="F36" s="253">
        <f t="shared" si="0"/>
        <v>18</v>
      </c>
      <c r="G36" s="189">
        <v>0</v>
      </c>
      <c r="H36" s="189">
        <v>171</v>
      </c>
    </row>
    <row r="37" spans="1:8" s="26" customFormat="1" x14ac:dyDescent="0.2">
      <c r="A37" s="189">
        <v>33</v>
      </c>
      <c r="B37" s="189">
        <v>1843581840</v>
      </c>
      <c r="C37" s="189" t="s">
        <v>1045</v>
      </c>
      <c r="D37" s="341">
        <v>1</v>
      </c>
      <c r="E37" s="189">
        <v>1</v>
      </c>
      <c r="F37" s="253">
        <f t="shared" si="0"/>
        <v>8.3333333333333329E-2</v>
      </c>
      <c r="G37" s="189">
        <v>0</v>
      </c>
      <c r="H37" s="189">
        <f>E37</f>
        <v>1</v>
      </c>
    </row>
    <row r="38" spans="1:8" x14ac:dyDescent="0.2">
      <c r="A38" s="189">
        <v>34</v>
      </c>
      <c r="B38" s="189">
        <v>1843810840</v>
      </c>
      <c r="C38" s="189" t="s">
        <v>77</v>
      </c>
      <c r="D38" s="341">
        <v>4325</v>
      </c>
      <c r="E38" s="189">
        <v>4325</v>
      </c>
      <c r="F38" s="253">
        <f t="shared" si="0"/>
        <v>360.41666666666669</v>
      </c>
      <c r="G38" s="189">
        <v>501</v>
      </c>
      <c r="H38" s="189">
        <f>E38</f>
        <v>4325</v>
      </c>
    </row>
    <row r="39" spans="1:8" x14ac:dyDescent="0.2">
      <c r="A39" s="189">
        <v>35</v>
      </c>
      <c r="B39" s="189">
        <v>1843820840</v>
      </c>
      <c r="C39" s="189" t="s">
        <v>78</v>
      </c>
      <c r="D39" s="341">
        <v>128</v>
      </c>
      <c r="E39" s="189">
        <v>128</v>
      </c>
      <c r="F39" s="253">
        <f t="shared" si="0"/>
        <v>10.666666666666666</v>
      </c>
      <c r="G39" s="189">
        <v>7</v>
      </c>
      <c r="H39" s="189">
        <v>129</v>
      </c>
    </row>
    <row r="40" spans="1:8" x14ac:dyDescent="0.2">
      <c r="A40" s="189">
        <v>36</v>
      </c>
      <c r="B40" s="189">
        <v>1843910840</v>
      </c>
      <c r="C40" s="189" t="s">
        <v>79</v>
      </c>
      <c r="D40" s="341">
        <v>978</v>
      </c>
      <c r="E40" s="189">
        <v>978</v>
      </c>
      <c r="F40" s="253">
        <f t="shared" si="0"/>
        <v>81.5</v>
      </c>
      <c r="G40" s="189">
        <v>135</v>
      </c>
      <c r="H40" s="189">
        <f>E40</f>
        <v>978</v>
      </c>
    </row>
    <row r="41" spans="1:8" x14ac:dyDescent="0.2">
      <c r="A41" s="189">
        <v>37</v>
      </c>
      <c r="B41" s="189">
        <v>1844310840</v>
      </c>
      <c r="C41" s="189" t="s">
        <v>332</v>
      </c>
      <c r="D41" s="341">
        <v>2774</v>
      </c>
      <c r="E41" s="189">
        <v>2774</v>
      </c>
      <c r="F41" s="253">
        <f t="shared" si="0"/>
        <v>231.16666666666666</v>
      </c>
      <c r="G41" s="189">
        <v>322</v>
      </c>
      <c r="H41" s="189">
        <f>E41</f>
        <v>2774</v>
      </c>
    </row>
    <row r="42" spans="1:8" x14ac:dyDescent="0.2">
      <c r="A42" s="189">
        <v>38</v>
      </c>
      <c r="B42" s="189">
        <v>1844413840</v>
      </c>
      <c r="C42" s="189" t="s">
        <v>582</v>
      </c>
      <c r="D42" s="341">
        <v>5</v>
      </c>
      <c r="E42" s="189">
        <v>5</v>
      </c>
      <c r="F42" s="253">
        <f t="shared" si="0"/>
        <v>0.41666666666666669</v>
      </c>
      <c r="G42" s="189">
        <v>0</v>
      </c>
      <c r="H42" s="189">
        <f>E42</f>
        <v>5</v>
      </c>
    </row>
    <row r="43" spans="1:8" x14ac:dyDescent="0.2">
      <c r="A43" s="189">
        <v>39</v>
      </c>
      <c r="B43" s="189">
        <v>1844414840</v>
      </c>
      <c r="C43" s="189" t="s">
        <v>81</v>
      </c>
      <c r="D43" s="341">
        <v>49</v>
      </c>
      <c r="E43" s="189">
        <v>49</v>
      </c>
      <c r="F43" s="253">
        <f t="shared" si="0"/>
        <v>4.083333333333333</v>
      </c>
      <c r="G43" s="189">
        <v>0</v>
      </c>
      <c r="H43" s="189">
        <f>E43</f>
        <v>49</v>
      </c>
    </row>
    <row r="44" spans="1:8" x14ac:dyDescent="0.2">
      <c r="A44" s="189">
        <v>40</v>
      </c>
      <c r="B44" s="189">
        <v>1844418840</v>
      </c>
      <c r="C44" s="189" t="s">
        <v>1029</v>
      </c>
      <c r="D44" s="341">
        <v>1510</v>
      </c>
      <c r="E44" s="189">
        <v>1510</v>
      </c>
      <c r="F44" s="253">
        <f t="shared" si="0"/>
        <v>125.83333333333333</v>
      </c>
      <c r="G44" s="189">
        <v>78</v>
      </c>
      <c r="H44" s="189">
        <v>1399</v>
      </c>
    </row>
    <row r="45" spans="1:8" x14ac:dyDescent="0.2">
      <c r="A45" s="189">
        <v>41</v>
      </c>
      <c r="B45" s="189">
        <v>1844420840</v>
      </c>
      <c r="C45" s="189" t="s">
        <v>333</v>
      </c>
      <c r="D45" s="341">
        <v>39</v>
      </c>
      <c r="E45" s="189">
        <v>39</v>
      </c>
      <c r="F45" s="253">
        <f t="shared" si="0"/>
        <v>3.25</v>
      </c>
      <c r="G45" s="189">
        <v>7</v>
      </c>
      <c r="H45" s="189">
        <f>E45</f>
        <v>39</v>
      </c>
    </row>
    <row r="46" spans="1:8" x14ac:dyDescent="0.2">
      <c r="A46" s="189">
        <v>42</v>
      </c>
      <c r="B46" s="189">
        <v>1844425840</v>
      </c>
      <c r="C46" s="189" t="s">
        <v>842</v>
      </c>
      <c r="D46" s="341">
        <v>22</v>
      </c>
      <c r="E46" s="189">
        <v>22</v>
      </c>
      <c r="F46" s="253">
        <f t="shared" si="0"/>
        <v>1.8333333333333333</v>
      </c>
      <c r="G46" s="189">
        <v>0</v>
      </c>
      <c r="H46" s="189">
        <f>E46</f>
        <v>22</v>
      </c>
    </row>
    <row r="47" spans="1:8" x14ac:dyDescent="0.2">
      <c r="A47" s="189">
        <v>43</v>
      </c>
      <c r="B47" s="189">
        <v>1844440840</v>
      </c>
      <c r="C47" s="189" t="s">
        <v>334</v>
      </c>
      <c r="D47" s="341">
        <v>48</v>
      </c>
      <c r="E47" s="189">
        <v>48</v>
      </c>
      <c r="F47" s="253">
        <f t="shared" si="0"/>
        <v>4</v>
      </c>
      <c r="G47" s="189">
        <v>0</v>
      </c>
      <c r="H47" s="189">
        <f>E47</f>
        <v>48</v>
      </c>
    </row>
    <row r="48" spans="1:8" x14ac:dyDescent="0.2">
      <c r="A48" s="189">
        <v>44</v>
      </c>
      <c r="B48" s="189">
        <v>1844470840</v>
      </c>
      <c r="C48" s="189" t="s">
        <v>85</v>
      </c>
      <c r="D48" s="341">
        <v>656</v>
      </c>
      <c r="E48" s="189">
        <v>656</v>
      </c>
      <c r="F48" s="253">
        <f t="shared" si="0"/>
        <v>54.666666666666664</v>
      </c>
      <c r="G48" s="189">
        <v>156</v>
      </c>
      <c r="H48" s="189">
        <v>472</v>
      </c>
    </row>
    <row r="49" spans="1:8" x14ac:dyDescent="0.2">
      <c r="A49" s="189">
        <v>45</v>
      </c>
      <c r="B49" s="189">
        <v>1844491840</v>
      </c>
      <c r="C49" s="189" t="s">
        <v>583</v>
      </c>
      <c r="D49" s="341">
        <v>5</v>
      </c>
      <c r="E49" s="189">
        <v>5</v>
      </c>
      <c r="F49" s="253">
        <f t="shared" si="0"/>
        <v>0.41666666666666669</v>
      </c>
      <c r="G49" s="189">
        <v>0</v>
      </c>
      <c r="H49" s="189">
        <f>E49</f>
        <v>5</v>
      </c>
    </row>
    <row r="50" spans="1:8" s="26" customFormat="1" x14ac:dyDescent="0.2">
      <c r="A50" s="189">
        <v>46</v>
      </c>
      <c r="B50" s="189">
        <v>1844495840</v>
      </c>
      <c r="C50" s="189" t="s">
        <v>865</v>
      </c>
      <c r="D50" s="341">
        <v>291</v>
      </c>
      <c r="E50" s="189">
        <v>291</v>
      </c>
      <c r="F50" s="253">
        <f t="shared" si="0"/>
        <v>24.25</v>
      </c>
      <c r="G50" s="189">
        <v>0</v>
      </c>
      <c r="H50" s="189">
        <f t="shared" ref="H50:H71" si="4">E50</f>
        <v>291</v>
      </c>
    </row>
    <row r="51" spans="1:8" x14ac:dyDescent="0.2">
      <c r="A51" s="189">
        <v>47</v>
      </c>
      <c r="B51" s="189">
        <v>1844511840</v>
      </c>
      <c r="C51" s="189" t="s">
        <v>91</v>
      </c>
      <c r="D51" s="341">
        <v>499</v>
      </c>
      <c r="E51" s="189">
        <v>499</v>
      </c>
      <c r="F51" s="253">
        <f t="shared" si="0"/>
        <v>41.583333333333336</v>
      </c>
      <c r="G51" s="189">
        <v>0</v>
      </c>
      <c r="H51" s="189">
        <f t="shared" si="4"/>
        <v>499</v>
      </c>
    </row>
    <row r="52" spans="1:8" x14ac:dyDescent="0.2">
      <c r="A52" s="189">
        <v>48</v>
      </c>
      <c r="B52" s="189">
        <v>1845100840</v>
      </c>
      <c r="C52" s="189" t="s">
        <v>93</v>
      </c>
      <c r="D52" s="341">
        <v>8</v>
      </c>
      <c r="E52" s="189">
        <v>8</v>
      </c>
      <c r="F52" s="253">
        <f t="shared" si="0"/>
        <v>0.66666666666666663</v>
      </c>
      <c r="G52" s="189">
        <v>3</v>
      </c>
      <c r="H52" s="189">
        <f t="shared" si="4"/>
        <v>8</v>
      </c>
    </row>
    <row r="53" spans="1:8" x14ac:dyDescent="0.2">
      <c r="A53" s="189">
        <v>49</v>
      </c>
      <c r="B53" s="189">
        <v>1845101840</v>
      </c>
      <c r="C53" s="189" t="s">
        <v>1030</v>
      </c>
      <c r="D53" s="376">
        <v>653</v>
      </c>
      <c r="E53" s="189">
        <v>653</v>
      </c>
      <c r="F53" s="253">
        <f t="shared" si="0"/>
        <v>54.416666666666664</v>
      </c>
      <c r="G53" s="189">
        <v>78</v>
      </c>
      <c r="H53" s="189">
        <f t="shared" si="4"/>
        <v>653</v>
      </c>
    </row>
    <row r="54" spans="1:8" x14ac:dyDescent="0.2">
      <c r="A54" s="189">
        <v>50</v>
      </c>
      <c r="B54" s="189">
        <v>1845111840</v>
      </c>
      <c r="C54" s="189" t="s">
        <v>95</v>
      </c>
      <c r="D54" s="341">
        <v>176</v>
      </c>
      <c r="E54" s="189">
        <v>176</v>
      </c>
      <c r="F54" s="253">
        <f t="shared" si="0"/>
        <v>14.666666666666666</v>
      </c>
      <c r="G54" s="189">
        <v>10</v>
      </c>
      <c r="H54" s="189">
        <f t="shared" si="4"/>
        <v>176</v>
      </c>
    </row>
    <row r="55" spans="1:8" x14ac:dyDescent="0.2">
      <c r="A55" s="189">
        <v>51</v>
      </c>
      <c r="B55" s="189">
        <v>1845112840</v>
      </c>
      <c r="C55" s="189" t="s">
        <v>96</v>
      </c>
      <c r="D55" s="341">
        <v>128</v>
      </c>
      <c r="E55" s="189">
        <v>128</v>
      </c>
      <c r="F55" s="253">
        <f t="shared" si="0"/>
        <v>10.666666666666666</v>
      </c>
      <c r="G55" s="189">
        <v>14</v>
      </c>
      <c r="H55" s="189">
        <f t="shared" si="4"/>
        <v>128</v>
      </c>
    </row>
    <row r="56" spans="1:8" x14ac:dyDescent="0.2">
      <c r="A56" s="189">
        <v>52</v>
      </c>
      <c r="B56" s="189">
        <v>1845120840</v>
      </c>
      <c r="C56" s="189" t="s">
        <v>336</v>
      </c>
      <c r="D56" s="341">
        <v>22</v>
      </c>
      <c r="E56" s="189">
        <v>22</v>
      </c>
      <c r="F56" s="253">
        <f t="shared" si="0"/>
        <v>1.8333333333333333</v>
      </c>
      <c r="G56" s="189">
        <v>0</v>
      </c>
      <c r="H56" s="189">
        <f t="shared" si="4"/>
        <v>22</v>
      </c>
    </row>
    <row r="57" spans="1:8" x14ac:dyDescent="0.2">
      <c r="A57" s="189">
        <v>53</v>
      </c>
      <c r="B57" s="189">
        <v>1845121840</v>
      </c>
      <c r="C57" s="189" t="s">
        <v>98</v>
      </c>
      <c r="D57" s="341">
        <v>56</v>
      </c>
      <c r="E57" s="189">
        <v>56</v>
      </c>
      <c r="F57" s="253">
        <f t="shared" si="0"/>
        <v>4.666666666666667</v>
      </c>
      <c r="G57" s="189">
        <v>0</v>
      </c>
      <c r="H57" s="189">
        <f t="shared" si="4"/>
        <v>56</v>
      </c>
    </row>
    <row r="58" spans="1:8" x14ac:dyDescent="0.2">
      <c r="A58" s="189">
        <v>54</v>
      </c>
      <c r="B58" s="189">
        <v>1845122840</v>
      </c>
      <c r="C58" s="189" t="s">
        <v>719</v>
      </c>
      <c r="D58" s="341">
        <v>4</v>
      </c>
      <c r="E58" s="189">
        <v>4</v>
      </c>
      <c r="F58" s="253">
        <f t="shared" si="0"/>
        <v>0.33333333333333331</v>
      </c>
      <c r="G58" s="189">
        <v>0</v>
      </c>
      <c r="H58" s="189">
        <f t="shared" si="4"/>
        <v>4</v>
      </c>
    </row>
    <row r="59" spans="1:8" x14ac:dyDescent="0.2">
      <c r="A59" s="189">
        <v>55</v>
      </c>
      <c r="B59" s="189">
        <v>1845130840</v>
      </c>
      <c r="C59" s="189" t="s">
        <v>337</v>
      </c>
      <c r="D59" s="341">
        <v>7575</v>
      </c>
      <c r="E59" s="189">
        <v>7575</v>
      </c>
      <c r="F59" s="253">
        <f t="shared" si="0"/>
        <v>631.25</v>
      </c>
      <c r="G59" s="189">
        <v>605</v>
      </c>
      <c r="H59" s="189">
        <f t="shared" si="4"/>
        <v>7575</v>
      </c>
    </row>
    <row r="60" spans="1:8" x14ac:dyDescent="0.2">
      <c r="A60" s="189">
        <v>56</v>
      </c>
      <c r="B60" s="189">
        <v>1845150840</v>
      </c>
      <c r="C60" s="189" t="s">
        <v>100</v>
      </c>
      <c r="D60" s="341">
        <v>6104</v>
      </c>
      <c r="E60" s="189">
        <v>6104</v>
      </c>
      <c r="F60" s="253">
        <f t="shared" si="0"/>
        <v>508.66666666666669</v>
      </c>
      <c r="G60" s="189">
        <v>663</v>
      </c>
      <c r="H60" s="189">
        <f t="shared" si="4"/>
        <v>6104</v>
      </c>
    </row>
    <row r="61" spans="1:8" x14ac:dyDescent="0.2">
      <c r="A61" s="189">
        <v>57</v>
      </c>
      <c r="B61" s="189">
        <v>1845160840</v>
      </c>
      <c r="C61" s="189" t="s">
        <v>338</v>
      </c>
      <c r="D61" s="341">
        <v>193</v>
      </c>
      <c r="E61" s="189">
        <v>193</v>
      </c>
      <c r="F61" s="253">
        <f t="shared" si="0"/>
        <v>16.083333333333332</v>
      </c>
      <c r="G61" s="189">
        <v>29</v>
      </c>
      <c r="H61" s="189">
        <f t="shared" si="4"/>
        <v>193</v>
      </c>
    </row>
    <row r="62" spans="1:8" x14ac:dyDescent="0.2">
      <c r="A62" s="189">
        <v>58</v>
      </c>
      <c r="B62" s="189">
        <v>1845170840</v>
      </c>
      <c r="C62" s="189" t="s">
        <v>102</v>
      </c>
      <c r="D62" s="341">
        <v>206</v>
      </c>
      <c r="E62" s="189">
        <v>206</v>
      </c>
      <c r="F62" s="253">
        <f t="shared" si="0"/>
        <v>17.166666666666668</v>
      </c>
      <c r="G62" s="189">
        <v>17</v>
      </c>
      <c r="H62" s="189">
        <f t="shared" si="4"/>
        <v>206</v>
      </c>
    </row>
    <row r="63" spans="1:8" x14ac:dyDescent="0.2">
      <c r="A63" s="189">
        <v>59</v>
      </c>
      <c r="B63" s="189">
        <v>1845180840</v>
      </c>
      <c r="C63" s="189" t="s">
        <v>339</v>
      </c>
      <c r="D63" s="341">
        <v>653</v>
      </c>
      <c r="E63" s="189">
        <v>653</v>
      </c>
      <c r="F63" s="253">
        <f t="shared" si="0"/>
        <v>54.416666666666664</v>
      </c>
      <c r="G63" s="189">
        <v>0</v>
      </c>
      <c r="H63" s="189">
        <f t="shared" si="4"/>
        <v>653</v>
      </c>
    </row>
    <row r="64" spans="1:8" x14ac:dyDescent="0.2">
      <c r="A64" s="189">
        <v>60</v>
      </c>
      <c r="B64" s="189">
        <v>1845190840</v>
      </c>
      <c r="C64" s="189" t="s">
        <v>104</v>
      </c>
      <c r="D64" s="341">
        <v>67</v>
      </c>
      <c r="E64" s="189">
        <v>67</v>
      </c>
      <c r="F64" s="253">
        <f t="shared" si="0"/>
        <v>5.583333333333333</v>
      </c>
      <c r="G64" s="189">
        <v>14</v>
      </c>
      <c r="H64" s="189">
        <f t="shared" si="4"/>
        <v>67</v>
      </c>
    </row>
    <row r="65" spans="1:8" x14ac:dyDescent="0.2">
      <c r="A65" s="189">
        <v>61</v>
      </c>
      <c r="B65" s="189">
        <v>1845200840</v>
      </c>
      <c r="C65" s="189" t="s">
        <v>340</v>
      </c>
      <c r="D65" s="341">
        <v>1146</v>
      </c>
      <c r="E65" s="189">
        <v>1146</v>
      </c>
      <c r="F65" s="253">
        <f t="shared" si="0"/>
        <v>95.5</v>
      </c>
      <c r="G65" s="189">
        <v>116</v>
      </c>
      <c r="H65" s="189">
        <f>E65</f>
        <v>1146</v>
      </c>
    </row>
    <row r="66" spans="1:8" x14ac:dyDescent="0.2">
      <c r="A66" s="189">
        <v>62</v>
      </c>
      <c r="B66" s="189">
        <v>1845210840</v>
      </c>
      <c r="C66" s="189" t="s">
        <v>341</v>
      </c>
      <c r="D66" s="341">
        <v>5</v>
      </c>
      <c r="E66" s="189">
        <v>5</v>
      </c>
      <c r="F66" s="253">
        <f t="shared" si="0"/>
        <v>0.41666666666666669</v>
      </c>
      <c r="G66" s="189">
        <v>0</v>
      </c>
      <c r="H66" s="189">
        <f t="shared" si="4"/>
        <v>5</v>
      </c>
    </row>
    <row r="67" spans="1:8" x14ac:dyDescent="0.2">
      <c r="A67" s="189">
        <v>63</v>
      </c>
      <c r="B67" s="189">
        <v>1845220840</v>
      </c>
      <c r="C67" s="189" t="s">
        <v>342</v>
      </c>
      <c r="D67" s="341">
        <v>1089</v>
      </c>
      <c r="E67" s="189">
        <v>1089</v>
      </c>
      <c r="F67" s="253">
        <f t="shared" si="0"/>
        <v>90.75</v>
      </c>
      <c r="G67" s="189">
        <v>160</v>
      </c>
      <c r="H67" s="189">
        <f t="shared" si="4"/>
        <v>1089</v>
      </c>
    </row>
    <row r="68" spans="1:8" x14ac:dyDescent="0.2">
      <c r="A68" s="189">
        <v>64</v>
      </c>
      <c r="B68" s="189">
        <v>1845230840</v>
      </c>
      <c r="C68" s="189" t="s">
        <v>109</v>
      </c>
      <c r="D68" s="341">
        <v>330</v>
      </c>
      <c r="E68" s="189">
        <v>330</v>
      </c>
      <c r="F68" s="253">
        <f t="shared" si="0"/>
        <v>27.5</v>
      </c>
      <c r="G68" s="189">
        <v>29</v>
      </c>
      <c r="H68" s="189">
        <f t="shared" si="4"/>
        <v>330</v>
      </c>
    </row>
    <row r="69" spans="1:8" x14ac:dyDescent="0.2">
      <c r="A69" s="189">
        <v>65</v>
      </c>
      <c r="B69" s="189">
        <v>1845320840</v>
      </c>
      <c r="C69" s="189" t="s">
        <v>343</v>
      </c>
      <c r="D69" s="341">
        <v>217</v>
      </c>
      <c r="E69" s="189">
        <v>217</v>
      </c>
      <c r="F69" s="253">
        <f t="shared" si="0"/>
        <v>18.083333333333332</v>
      </c>
      <c r="G69" s="189">
        <v>42</v>
      </c>
      <c r="H69" s="189">
        <f t="shared" si="4"/>
        <v>217</v>
      </c>
    </row>
    <row r="70" spans="1:8" x14ac:dyDescent="0.2">
      <c r="A70" s="189">
        <v>66</v>
      </c>
      <c r="B70" s="189">
        <v>1845340840</v>
      </c>
      <c r="C70" s="189" t="s">
        <v>344</v>
      </c>
      <c r="D70" s="341">
        <v>55</v>
      </c>
      <c r="E70" s="189">
        <v>55</v>
      </c>
      <c r="F70" s="253">
        <f t="shared" si="0"/>
        <v>4.583333333333333</v>
      </c>
      <c r="G70" s="189">
        <v>1</v>
      </c>
      <c r="H70" s="189">
        <f t="shared" si="4"/>
        <v>55</v>
      </c>
    </row>
    <row r="71" spans="1:8" x14ac:dyDescent="0.2">
      <c r="A71" s="189">
        <v>67</v>
      </c>
      <c r="B71" s="189">
        <v>1845350840</v>
      </c>
      <c r="C71" s="189" t="s">
        <v>1058</v>
      </c>
      <c r="D71" s="341">
        <v>3</v>
      </c>
      <c r="E71" s="189">
        <v>3</v>
      </c>
      <c r="F71" s="253">
        <f t="shared" ref="F71:F110" si="5">E71/12</f>
        <v>0.25</v>
      </c>
      <c r="G71" s="189">
        <v>0</v>
      </c>
      <c r="H71" s="189">
        <f t="shared" si="4"/>
        <v>3</v>
      </c>
    </row>
    <row r="72" spans="1:8" x14ac:dyDescent="0.2">
      <c r="A72" s="189">
        <v>68</v>
      </c>
      <c r="B72" s="189">
        <v>1846300840</v>
      </c>
      <c r="C72" s="189" t="s">
        <v>112</v>
      </c>
      <c r="D72" s="341">
        <v>213</v>
      </c>
      <c r="E72" s="189">
        <v>213</v>
      </c>
      <c r="F72" s="253">
        <f t="shared" si="5"/>
        <v>17.75</v>
      </c>
      <c r="G72" s="189">
        <v>32</v>
      </c>
      <c r="H72" s="189">
        <v>307</v>
      </c>
    </row>
    <row r="73" spans="1:8" x14ac:dyDescent="0.2">
      <c r="A73" s="189">
        <v>69</v>
      </c>
      <c r="B73" s="189">
        <v>1846500840</v>
      </c>
      <c r="C73" s="189" t="s">
        <v>113</v>
      </c>
      <c r="D73" s="341">
        <v>6202</v>
      </c>
      <c r="E73" s="189">
        <v>6202</v>
      </c>
      <c r="F73" s="253">
        <f t="shared" si="5"/>
        <v>516.83333333333337</v>
      </c>
      <c r="G73" s="189">
        <v>633</v>
      </c>
      <c r="H73" s="189">
        <f>E73</f>
        <v>6202</v>
      </c>
    </row>
    <row r="74" spans="1:8" x14ac:dyDescent="0.2">
      <c r="A74" s="189">
        <v>70</v>
      </c>
      <c r="B74" s="189">
        <v>1846510840</v>
      </c>
      <c r="C74" s="189" t="s">
        <v>345</v>
      </c>
      <c r="D74" s="341">
        <v>281</v>
      </c>
      <c r="E74" s="189">
        <v>281</v>
      </c>
      <c r="F74" s="253">
        <f t="shared" si="5"/>
        <v>23.416666666666668</v>
      </c>
      <c r="G74" s="189">
        <v>15</v>
      </c>
      <c r="H74" s="189">
        <f t="shared" ref="H74:H79" si="6">E74</f>
        <v>281</v>
      </c>
    </row>
    <row r="75" spans="1:8" x14ac:dyDescent="0.2">
      <c r="A75" s="189">
        <v>71</v>
      </c>
      <c r="B75" s="189">
        <v>1846610840</v>
      </c>
      <c r="C75" s="189" t="s">
        <v>115</v>
      </c>
      <c r="D75" s="341">
        <v>513</v>
      </c>
      <c r="E75" s="189">
        <v>513</v>
      </c>
      <c r="F75" s="253">
        <f t="shared" si="5"/>
        <v>42.75</v>
      </c>
      <c r="G75" s="189">
        <v>58</v>
      </c>
      <c r="H75" s="189">
        <f t="shared" si="6"/>
        <v>513</v>
      </c>
    </row>
    <row r="76" spans="1:8" x14ac:dyDescent="0.2">
      <c r="A76" s="189">
        <v>72</v>
      </c>
      <c r="B76" s="189">
        <v>1846620840</v>
      </c>
      <c r="C76" s="189" t="s">
        <v>346</v>
      </c>
      <c r="D76" s="341">
        <v>477</v>
      </c>
      <c r="E76" s="189">
        <v>477</v>
      </c>
      <c r="F76" s="253">
        <f t="shared" si="5"/>
        <v>39.75</v>
      </c>
      <c r="G76" s="189">
        <v>139</v>
      </c>
      <c r="H76" s="189">
        <f t="shared" si="6"/>
        <v>477</v>
      </c>
    </row>
    <row r="77" spans="1:8" x14ac:dyDescent="0.2">
      <c r="A77" s="189">
        <v>73</v>
      </c>
      <c r="B77" s="189">
        <v>1846630840</v>
      </c>
      <c r="C77" s="189" t="s">
        <v>1060</v>
      </c>
      <c r="D77" s="341">
        <v>216</v>
      </c>
      <c r="E77" s="189">
        <v>216</v>
      </c>
      <c r="F77" s="253">
        <f t="shared" si="5"/>
        <v>18</v>
      </c>
      <c r="G77" s="189">
        <v>0</v>
      </c>
      <c r="H77" s="189">
        <f t="shared" si="6"/>
        <v>216</v>
      </c>
    </row>
    <row r="78" spans="1:8" x14ac:dyDescent="0.2">
      <c r="A78" s="189">
        <v>74</v>
      </c>
      <c r="B78" s="189">
        <v>1846640840</v>
      </c>
      <c r="C78" s="189" t="s">
        <v>866</v>
      </c>
      <c r="D78" s="341">
        <v>267</v>
      </c>
      <c r="E78" s="189">
        <v>267</v>
      </c>
      <c r="F78" s="253">
        <f t="shared" si="5"/>
        <v>22.25</v>
      </c>
      <c r="G78" s="189">
        <v>23</v>
      </c>
      <c r="H78" s="189">
        <f>E78</f>
        <v>267</v>
      </c>
    </row>
    <row r="79" spans="1:8" x14ac:dyDescent="0.2">
      <c r="A79" s="189">
        <v>75</v>
      </c>
      <c r="B79" s="189">
        <v>1846710840</v>
      </c>
      <c r="C79" s="189" t="s">
        <v>347</v>
      </c>
      <c r="D79" s="341">
        <v>1510</v>
      </c>
      <c r="E79" s="189">
        <v>1510</v>
      </c>
      <c r="F79" s="253">
        <f t="shared" si="5"/>
        <v>125.83333333333333</v>
      </c>
      <c r="G79" s="189">
        <v>177</v>
      </c>
      <c r="H79" s="189">
        <f t="shared" si="6"/>
        <v>1510</v>
      </c>
    </row>
    <row r="80" spans="1:8" x14ac:dyDescent="0.2">
      <c r="A80" s="189">
        <v>76</v>
      </c>
      <c r="B80" s="189">
        <v>1846711840</v>
      </c>
      <c r="C80" s="189" t="s">
        <v>348</v>
      </c>
      <c r="D80" s="341">
        <v>220</v>
      </c>
      <c r="E80" s="189">
        <v>200</v>
      </c>
      <c r="F80" s="253">
        <f t="shared" si="5"/>
        <v>16.666666666666668</v>
      </c>
      <c r="G80" s="189">
        <v>12</v>
      </c>
      <c r="H80" s="189">
        <v>257</v>
      </c>
    </row>
    <row r="81" spans="1:8" x14ac:dyDescent="0.2">
      <c r="A81" s="189">
        <v>77</v>
      </c>
      <c r="B81" s="189">
        <v>1846730840</v>
      </c>
      <c r="C81" s="189" t="s">
        <v>120</v>
      </c>
      <c r="D81" s="341">
        <v>128</v>
      </c>
      <c r="E81" s="189">
        <v>128</v>
      </c>
      <c r="F81" s="253">
        <f t="shared" si="5"/>
        <v>10.666666666666666</v>
      </c>
      <c r="G81" s="189">
        <v>19</v>
      </c>
      <c r="H81" s="189">
        <f>E81</f>
        <v>128</v>
      </c>
    </row>
    <row r="82" spans="1:8" x14ac:dyDescent="0.2">
      <c r="A82" s="189">
        <v>78</v>
      </c>
      <c r="B82" s="189">
        <v>1846750840</v>
      </c>
      <c r="C82" s="189" t="s">
        <v>121</v>
      </c>
      <c r="D82" s="341">
        <v>127</v>
      </c>
      <c r="E82" s="189">
        <v>127</v>
      </c>
      <c r="F82" s="253">
        <f t="shared" si="5"/>
        <v>10.583333333333334</v>
      </c>
      <c r="G82" s="189">
        <v>18</v>
      </c>
      <c r="H82" s="189">
        <f t="shared" ref="H82:H84" si="7">E82</f>
        <v>127</v>
      </c>
    </row>
    <row r="83" spans="1:8" x14ac:dyDescent="0.2">
      <c r="A83" s="189">
        <v>79</v>
      </c>
      <c r="B83" s="189">
        <v>1846761840</v>
      </c>
      <c r="C83" s="189" t="s">
        <v>585</v>
      </c>
      <c r="D83" s="341">
        <v>398</v>
      </c>
      <c r="E83" s="189">
        <v>398</v>
      </c>
      <c r="F83" s="253">
        <f t="shared" si="5"/>
        <v>33.166666666666664</v>
      </c>
      <c r="G83" s="189">
        <v>3</v>
      </c>
      <c r="H83" s="189">
        <f t="shared" si="7"/>
        <v>398</v>
      </c>
    </row>
    <row r="84" spans="1:8" x14ac:dyDescent="0.2">
      <c r="A84" s="189">
        <v>80</v>
      </c>
      <c r="B84" s="189">
        <v>1846780840</v>
      </c>
      <c r="C84" s="189" t="s">
        <v>1167</v>
      </c>
      <c r="D84" s="341">
        <v>639</v>
      </c>
      <c r="E84" s="189">
        <v>639</v>
      </c>
      <c r="F84" s="253">
        <f t="shared" si="5"/>
        <v>53.25</v>
      </c>
      <c r="G84" s="189">
        <v>0</v>
      </c>
      <c r="H84" s="189">
        <f t="shared" si="7"/>
        <v>639</v>
      </c>
    </row>
    <row r="85" spans="1:8" x14ac:dyDescent="0.2">
      <c r="A85" s="189">
        <v>81</v>
      </c>
      <c r="B85" s="189">
        <v>1846790840</v>
      </c>
      <c r="C85" s="189" t="s">
        <v>124</v>
      </c>
      <c r="D85" s="341">
        <v>950</v>
      </c>
      <c r="E85" s="189">
        <v>500</v>
      </c>
      <c r="F85" s="253">
        <f t="shared" si="5"/>
        <v>41.666666666666664</v>
      </c>
      <c r="G85" s="189">
        <v>0</v>
      </c>
      <c r="H85" s="189">
        <v>587</v>
      </c>
    </row>
    <row r="86" spans="1:8" x14ac:dyDescent="0.2">
      <c r="A86" s="189">
        <v>82</v>
      </c>
      <c r="B86" s="189">
        <v>1846791840</v>
      </c>
      <c r="C86" s="189" t="s">
        <v>867</v>
      </c>
      <c r="D86" s="341">
        <v>57</v>
      </c>
      <c r="E86" s="189">
        <v>57</v>
      </c>
      <c r="F86" s="253">
        <f t="shared" si="5"/>
        <v>4.75</v>
      </c>
      <c r="G86" s="189">
        <v>0</v>
      </c>
      <c r="H86" s="189">
        <f>E86</f>
        <v>57</v>
      </c>
    </row>
    <row r="87" spans="1:8" x14ac:dyDescent="0.2">
      <c r="A87" s="189">
        <v>83</v>
      </c>
      <c r="B87" s="189">
        <v>1846820840</v>
      </c>
      <c r="C87" s="189" t="s">
        <v>125</v>
      </c>
      <c r="D87" s="341">
        <v>15</v>
      </c>
      <c r="E87" s="189">
        <v>15</v>
      </c>
      <c r="F87" s="253">
        <f t="shared" si="5"/>
        <v>1.25</v>
      </c>
      <c r="G87" s="189">
        <v>4</v>
      </c>
      <c r="H87" s="189">
        <f t="shared" ref="H87:H91" si="8">E87</f>
        <v>15</v>
      </c>
    </row>
    <row r="88" spans="1:8" x14ac:dyDescent="0.2">
      <c r="A88" s="189">
        <v>84</v>
      </c>
      <c r="B88" s="189">
        <v>1846830840</v>
      </c>
      <c r="C88" s="189" t="s">
        <v>126</v>
      </c>
      <c r="D88" s="341">
        <v>132</v>
      </c>
      <c r="E88" s="189">
        <v>132</v>
      </c>
      <c r="F88" s="253">
        <f t="shared" si="5"/>
        <v>11</v>
      </c>
      <c r="G88" s="189">
        <v>0</v>
      </c>
      <c r="H88" s="189">
        <f t="shared" si="8"/>
        <v>132</v>
      </c>
    </row>
    <row r="89" spans="1:8" x14ac:dyDescent="0.2">
      <c r="A89" s="189">
        <v>85</v>
      </c>
      <c r="B89" s="189">
        <v>1846840840</v>
      </c>
      <c r="C89" s="189" t="s">
        <v>720</v>
      </c>
      <c r="D89" s="341">
        <v>580</v>
      </c>
      <c r="E89" s="189">
        <v>580</v>
      </c>
      <c r="F89" s="253">
        <f t="shared" si="5"/>
        <v>48.333333333333336</v>
      </c>
      <c r="G89" s="189">
        <v>99</v>
      </c>
      <c r="H89" s="189">
        <f t="shared" si="8"/>
        <v>580</v>
      </c>
    </row>
    <row r="90" spans="1:8" x14ac:dyDescent="0.2">
      <c r="A90" s="189">
        <v>86</v>
      </c>
      <c r="B90" s="189">
        <v>1847100840</v>
      </c>
      <c r="C90" s="189" t="s">
        <v>127</v>
      </c>
      <c r="D90" s="341">
        <v>204</v>
      </c>
      <c r="E90" s="189">
        <v>204</v>
      </c>
      <c r="F90" s="253">
        <f t="shared" si="5"/>
        <v>17</v>
      </c>
      <c r="G90" s="189">
        <v>22</v>
      </c>
      <c r="H90" s="189">
        <f t="shared" si="8"/>
        <v>204</v>
      </c>
    </row>
    <row r="91" spans="1:8" x14ac:dyDescent="0.2">
      <c r="A91" s="189">
        <v>87</v>
      </c>
      <c r="B91" s="189">
        <v>1847110840</v>
      </c>
      <c r="C91" s="189" t="s">
        <v>128</v>
      </c>
      <c r="D91" s="341">
        <v>234</v>
      </c>
      <c r="E91" s="189">
        <v>234</v>
      </c>
      <c r="F91" s="253">
        <f t="shared" si="5"/>
        <v>19.5</v>
      </c>
      <c r="G91" s="189">
        <v>0</v>
      </c>
      <c r="H91" s="189">
        <f t="shared" si="8"/>
        <v>234</v>
      </c>
    </row>
    <row r="92" spans="1:8" x14ac:dyDescent="0.2">
      <c r="A92" s="189">
        <v>88</v>
      </c>
      <c r="B92" s="189">
        <v>1847130840</v>
      </c>
      <c r="C92" s="189" t="s">
        <v>129</v>
      </c>
      <c r="D92" s="341">
        <v>14</v>
      </c>
      <c r="E92" s="189">
        <v>14</v>
      </c>
      <c r="F92" s="253">
        <f t="shared" si="5"/>
        <v>1.1666666666666667</v>
      </c>
      <c r="G92" s="189">
        <v>0</v>
      </c>
      <c r="H92" s="189">
        <v>423</v>
      </c>
    </row>
    <row r="93" spans="1:8" x14ac:dyDescent="0.2">
      <c r="A93" s="189">
        <v>89</v>
      </c>
      <c r="B93" s="189">
        <v>1847140840</v>
      </c>
      <c r="C93" s="189" t="s">
        <v>349</v>
      </c>
      <c r="D93" s="341">
        <v>20</v>
      </c>
      <c r="E93" s="189">
        <v>20</v>
      </c>
      <c r="F93" s="253">
        <f t="shared" si="5"/>
        <v>1.6666666666666667</v>
      </c>
      <c r="G93" s="189">
        <v>0</v>
      </c>
      <c r="H93" s="189">
        <f>E93</f>
        <v>20</v>
      </c>
    </row>
    <row r="94" spans="1:8" s="26" customFormat="1" x14ac:dyDescent="0.2">
      <c r="A94" s="189">
        <v>90</v>
      </c>
      <c r="B94" s="189">
        <v>1847160840</v>
      </c>
      <c r="C94" s="189" t="s">
        <v>1031</v>
      </c>
      <c r="D94" s="341">
        <v>18</v>
      </c>
      <c r="E94" s="189">
        <v>18</v>
      </c>
      <c r="F94" s="253">
        <f t="shared" si="5"/>
        <v>1.5</v>
      </c>
      <c r="G94" s="189">
        <v>3</v>
      </c>
      <c r="H94" s="189">
        <f t="shared" ref="H94:H101" si="9">E94</f>
        <v>18</v>
      </c>
    </row>
    <row r="95" spans="1:8" s="26" customFormat="1" x14ac:dyDescent="0.2">
      <c r="A95" s="189">
        <v>91</v>
      </c>
      <c r="B95" s="189">
        <v>1847170840</v>
      </c>
      <c r="C95" s="189" t="s">
        <v>868</v>
      </c>
      <c r="D95" s="341">
        <v>11</v>
      </c>
      <c r="E95" s="189">
        <v>11</v>
      </c>
      <c r="F95" s="253">
        <f t="shared" si="5"/>
        <v>0.91666666666666663</v>
      </c>
      <c r="G95" s="189">
        <v>0</v>
      </c>
      <c r="H95" s="189">
        <f t="shared" si="9"/>
        <v>11</v>
      </c>
    </row>
    <row r="96" spans="1:8" x14ac:dyDescent="0.2">
      <c r="A96" s="189">
        <v>92</v>
      </c>
      <c r="B96" s="189">
        <v>1847180840</v>
      </c>
      <c r="C96" s="189" t="s">
        <v>715</v>
      </c>
      <c r="D96" s="341">
        <v>77</v>
      </c>
      <c r="E96" s="189">
        <v>77</v>
      </c>
      <c r="F96" s="253">
        <f t="shared" si="5"/>
        <v>6.416666666666667</v>
      </c>
      <c r="G96" s="189">
        <v>0</v>
      </c>
      <c r="H96" s="189">
        <f t="shared" si="9"/>
        <v>77</v>
      </c>
    </row>
    <row r="97" spans="1:8" x14ac:dyDescent="0.2">
      <c r="A97" s="189">
        <v>93</v>
      </c>
      <c r="B97" s="189">
        <v>1847200840</v>
      </c>
      <c r="C97" s="189" t="s">
        <v>841</v>
      </c>
      <c r="D97" s="341">
        <v>344</v>
      </c>
      <c r="E97" s="189">
        <v>344</v>
      </c>
      <c r="F97" s="253">
        <f t="shared" si="5"/>
        <v>28.666666666666668</v>
      </c>
      <c r="G97" s="189">
        <v>6</v>
      </c>
      <c r="H97" s="189">
        <f t="shared" si="9"/>
        <v>344</v>
      </c>
    </row>
    <row r="98" spans="1:8" x14ac:dyDescent="0.2">
      <c r="A98" s="189">
        <v>94</v>
      </c>
      <c r="B98" s="189">
        <v>1847210840</v>
      </c>
      <c r="C98" s="189" t="s">
        <v>1056</v>
      </c>
      <c r="D98" s="341">
        <v>130</v>
      </c>
      <c r="E98" s="189">
        <v>130</v>
      </c>
      <c r="F98" s="253">
        <f t="shared" si="5"/>
        <v>10.833333333333334</v>
      </c>
      <c r="G98" s="189">
        <v>7</v>
      </c>
      <c r="H98" s="189">
        <f>E98</f>
        <v>130</v>
      </c>
    </row>
    <row r="99" spans="1:8" x14ac:dyDescent="0.2">
      <c r="A99" s="189">
        <v>95</v>
      </c>
      <c r="B99" s="189">
        <v>1847311840</v>
      </c>
      <c r="C99" s="189" t="s">
        <v>350</v>
      </c>
      <c r="D99" s="341">
        <v>36</v>
      </c>
      <c r="E99" s="189">
        <v>36</v>
      </c>
      <c r="F99" s="253">
        <f t="shared" si="5"/>
        <v>3</v>
      </c>
      <c r="G99" s="189">
        <v>0</v>
      </c>
      <c r="H99" s="189">
        <f t="shared" si="9"/>
        <v>36</v>
      </c>
    </row>
    <row r="100" spans="1:8" s="26" customFormat="1" x14ac:dyDescent="0.2">
      <c r="A100" s="189">
        <v>96</v>
      </c>
      <c r="B100" s="189">
        <v>1847341840</v>
      </c>
      <c r="C100" s="189" t="s">
        <v>1120</v>
      </c>
      <c r="D100" s="341">
        <v>73</v>
      </c>
      <c r="E100" s="189">
        <v>73</v>
      </c>
      <c r="F100" s="253">
        <f t="shared" si="5"/>
        <v>6.083333333333333</v>
      </c>
      <c r="G100" s="189">
        <v>4</v>
      </c>
      <c r="H100" s="189">
        <f t="shared" si="9"/>
        <v>73</v>
      </c>
    </row>
    <row r="101" spans="1:8" x14ac:dyDescent="0.2">
      <c r="A101" s="189">
        <v>97</v>
      </c>
      <c r="B101" s="189">
        <v>1848211840</v>
      </c>
      <c r="C101" s="189" t="s">
        <v>351</v>
      </c>
      <c r="D101" s="341">
        <v>4</v>
      </c>
      <c r="E101" s="189">
        <v>4</v>
      </c>
      <c r="F101" s="253">
        <f t="shared" si="5"/>
        <v>0.33333333333333331</v>
      </c>
      <c r="G101" s="189">
        <v>0</v>
      </c>
      <c r="H101" s="189">
        <f t="shared" si="9"/>
        <v>4</v>
      </c>
    </row>
    <row r="102" spans="1:8" x14ac:dyDescent="0.2">
      <c r="A102" s="189">
        <v>98</v>
      </c>
      <c r="B102" s="189">
        <v>1848310840</v>
      </c>
      <c r="C102" s="189" t="s">
        <v>352</v>
      </c>
      <c r="D102" s="341">
        <v>28</v>
      </c>
      <c r="E102" s="189">
        <v>28</v>
      </c>
      <c r="F102" s="253">
        <f t="shared" si="5"/>
        <v>2.3333333333333335</v>
      </c>
      <c r="G102" s="189">
        <v>0</v>
      </c>
      <c r="H102" s="189">
        <v>13</v>
      </c>
    </row>
    <row r="103" spans="1:8" x14ac:dyDescent="0.2">
      <c r="A103" s="189">
        <v>99</v>
      </c>
      <c r="B103" s="189">
        <v>1848312840</v>
      </c>
      <c r="C103" s="189" t="s">
        <v>135</v>
      </c>
      <c r="D103" s="341">
        <v>2</v>
      </c>
      <c r="E103" s="189">
        <v>2</v>
      </c>
      <c r="F103" s="253">
        <f t="shared" si="5"/>
        <v>0.16666666666666666</v>
      </c>
      <c r="G103" s="189">
        <v>0</v>
      </c>
      <c r="H103" s="189">
        <v>5</v>
      </c>
    </row>
    <row r="104" spans="1:8" x14ac:dyDescent="0.2">
      <c r="A104" s="189">
        <v>100</v>
      </c>
      <c r="B104" s="189">
        <v>1849050840</v>
      </c>
      <c r="C104" s="189" t="s">
        <v>137</v>
      </c>
      <c r="D104" s="341">
        <v>27</v>
      </c>
      <c r="E104" s="189">
        <v>27</v>
      </c>
      <c r="F104" s="253">
        <f t="shared" si="5"/>
        <v>2.25</v>
      </c>
      <c r="G104" s="189">
        <v>2</v>
      </c>
      <c r="H104" s="189">
        <v>26</v>
      </c>
    </row>
    <row r="105" spans="1:8" x14ac:dyDescent="0.2">
      <c r="A105" s="189">
        <v>101</v>
      </c>
      <c r="B105" s="189">
        <v>1849060840</v>
      </c>
      <c r="C105" s="189" t="s">
        <v>354</v>
      </c>
      <c r="D105" s="341">
        <v>45</v>
      </c>
      <c r="E105" s="189">
        <v>45</v>
      </c>
      <c r="F105" s="253">
        <f t="shared" si="5"/>
        <v>3.75</v>
      </c>
      <c r="G105" s="189">
        <v>0</v>
      </c>
      <c r="H105" s="189">
        <f>E105</f>
        <v>45</v>
      </c>
    </row>
    <row r="106" spans="1:8" x14ac:dyDescent="0.2">
      <c r="A106" s="189">
        <v>102</v>
      </c>
      <c r="B106" s="189">
        <v>1849080840</v>
      </c>
      <c r="C106" s="189" t="s">
        <v>355</v>
      </c>
      <c r="D106" s="341">
        <v>15</v>
      </c>
      <c r="E106" s="189">
        <v>15</v>
      </c>
      <c r="F106" s="253">
        <f t="shared" si="5"/>
        <v>1.25</v>
      </c>
      <c r="G106" s="189">
        <v>0</v>
      </c>
      <c r="H106" s="189">
        <f t="shared" ref="H106:H110" si="10">E106</f>
        <v>15</v>
      </c>
    </row>
    <row r="107" spans="1:8" x14ac:dyDescent="0.2">
      <c r="A107" s="189">
        <v>103</v>
      </c>
      <c r="B107" s="189">
        <v>1849090840</v>
      </c>
      <c r="C107" s="189" t="s">
        <v>141</v>
      </c>
      <c r="D107" s="341">
        <v>146</v>
      </c>
      <c r="E107" s="189">
        <v>146</v>
      </c>
      <c r="F107" s="253">
        <f t="shared" si="5"/>
        <v>12.166666666666666</v>
      </c>
      <c r="G107" s="189">
        <v>0</v>
      </c>
      <c r="H107" s="189">
        <f t="shared" si="10"/>
        <v>146</v>
      </c>
    </row>
    <row r="108" spans="1:8" x14ac:dyDescent="0.2">
      <c r="A108" s="189">
        <v>104</v>
      </c>
      <c r="B108" s="189">
        <v>1849130840</v>
      </c>
      <c r="C108" s="189" t="s">
        <v>844</v>
      </c>
      <c r="D108" s="341">
        <v>27</v>
      </c>
      <c r="E108" s="189">
        <v>27</v>
      </c>
      <c r="F108" s="253">
        <f t="shared" si="5"/>
        <v>2.25</v>
      </c>
      <c r="G108" s="189">
        <v>0</v>
      </c>
      <c r="H108" s="189">
        <f t="shared" si="10"/>
        <v>27</v>
      </c>
    </row>
    <row r="109" spans="1:8" x14ac:dyDescent="0.2">
      <c r="A109" s="189">
        <v>105</v>
      </c>
      <c r="B109" s="189">
        <v>1849140840</v>
      </c>
      <c r="C109" s="189" t="s">
        <v>862</v>
      </c>
      <c r="D109" s="341">
        <v>30</v>
      </c>
      <c r="E109" s="189">
        <v>30</v>
      </c>
      <c r="F109" s="253">
        <f t="shared" si="5"/>
        <v>2.5</v>
      </c>
      <c r="G109" s="189">
        <v>0</v>
      </c>
      <c r="H109" s="189">
        <f t="shared" si="10"/>
        <v>30</v>
      </c>
    </row>
    <row r="110" spans="1:8" x14ac:dyDescent="0.2">
      <c r="A110" s="189">
        <v>106</v>
      </c>
      <c r="B110" s="189">
        <v>1849200840</v>
      </c>
      <c r="C110" s="189" t="s">
        <v>143</v>
      </c>
      <c r="D110" s="341">
        <v>27</v>
      </c>
      <c r="E110" s="189">
        <v>27</v>
      </c>
      <c r="F110" s="253">
        <f t="shared" si="5"/>
        <v>2.25</v>
      </c>
      <c r="G110" s="189">
        <v>0</v>
      </c>
      <c r="H110" s="189">
        <f t="shared" si="10"/>
        <v>27</v>
      </c>
    </row>
    <row r="111" spans="1:8" ht="15" x14ac:dyDescent="0.25">
      <c r="A111" s="338"/>
      <c r="B111" s="416" t="s">
        <v>419</v>
      </c>
      <c r="C111" s="416"/>
      <c r="D111" s="366">
        <f t="shared" ref="D111:E111" si="11">SUM(D5:D110)</f>
        <v>51058</v>
      </c>
      <c r="E111" s="366">
        <f t="shared" si="11"/>
        <v>50588</v>
      </c>
      <c r="F111" s="366">
        <f>SUM(F5:F110)</f>
        <v>4215.666666666667</v>
      </c>
      <c r="G111" s="366">
        <f>SUM(G5:G110)</f>
        <v>4452</v>
      </c>
      <c r="H111" s="366">
        <f>SUM(H5:H110)</f>
        <v>50242</v>
      </c>
    </row>
  </sheetData>
  <mergeCells count="2">
    <mergeCell ref="B111:C111"/>
    <mergeCell ref="C2:H2"/>
  </mergeCells>
  <pageMargins left="0.47244094488188981" right="0.59055118110236227" top="0.59055118110236227" bottom="0.27559055118110237" header="0.31496062992125984" footer="0.31496062992125984"/>
  <pageSetup paperSize="9" scale="79" firstPageNumber="13" fitToHeight="0" orientation="portrait" useFirstPageNumber="1" r:id="rId1"/>
  <headerFooter>
    <oddFooter>עמוד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2"/>
  <dimension ref="A2:H14"/>
  <sheetViews>
    <sheetView rightToLeft="1" zoomScale="110" zoomScaleNormal="110" workbookViewId="0">
      <selection activeCell="H8" sqref="H8:H10"/>
    </sheetView>
  </sheetViews>
  <sheetFormatPr defaultRowHeight="14.25" x14ac:dyDescent="0.2"/>
  <cols>
    <col min="1" max="1" width="5.625" customWidth="1"/>
    <col min="2" max="2" width="12.125" customWidth="1"/>
    <col min="3" max="3" width="16" customWidth="1"/>
    <col min="4" max="4" width="13.875" customWidth="1"/>
    <col min="5" max="5" width="12.5" customWidth="1"/>
    <col min="6" max="7" width="10.25" customWidth="1"/>
    <col min="8" max="8" width="11" customWidth="1"/>
    <col min="9" max="9" width="11.875" customWidth="1"/>
  </cols>
  <sheetData>
    <row r="2" spans="1:8" ht="23.25" x14ac:dyDescent="0.2">
      <c r="A2" s="436" t="s">
        <v>1076</v>
      </c>
      <c r="B2" s="436"/>
      <c r="C2" s="436"/>
      <c r="D2" s="436"/>
      <c r="E2" s="436"/>
      <c r="F2" s="436"/>
      <c r="G2" s="436"/>
      <c r="H2" s="436"/>
    </row>
    <row r="3" spans="1:8" x14ac:dyDescent="0.2">
      <c r="C3" s="23"/>
    </row>
    <row r="4" spans="1:8" s="124" customFormat="1" ht="47.25" x14ac:dyDescent="0.2">
      <c r="A4" s="113" t="s">
        <v>599</v>
      </c>
      <c r="B4" s="113" t="s">
        <v>0</v>
      </c>
      <c r="C4" s="113" t="s">
        <v>1</v>
      </c>
      <c r="D4" s="113" t="s">
        <v>1159</v>
      </c>
      <c r="E4" s="113" t="s">
        <v>1156</v>
      </c>
      <c r="F4" s="175" t="s">
        <v>1160</v>
      </c>
      <c r="G4" s="175" t="s">
        <v>1161</v>
      </c>
      <c r="H4" s="175" t="s">
        <v>1162</v>
      </c>
    </row>
    <row r="5" spans="1:8" s="6" customFormat="1" x14ac:dyDescent="0.2">
      <c r="A5" s="38">
        <v>1</v>
      </c>
      <c r="B5" s="38">
        <v>1772000782</v>
      </c>
      <c r="C5" s="184" t="s">
        <v>961</v>
      </c>
      <c r="D5" s="264">
        <v>59</v>
      </c>
      <c r="E5" s="264">
        <v>59</v>
      </c>
      <c r="F5" s="264">
        <f>E5/12</f>
        <v>4.916666666666667</v>
      </c>
      <c r="G5" s="264">
        <v>15</v>
      </c>
      <c r="H5" s="264">
        <f>E5</f>
        <v>59</v>
      </c>
    </row>
    <row r="6" spans="1:8" s="6" customFormat="1" x14ac:dyDescent="0.2">
      <c r="A6" s="38">
        <v>2</v>
      </c>
      <c r="B6" s="38">
        <v>1772000470</v>
      </c>
      <c r="C6" s="184" t="s">
        <v>889</v>
      </c>
      <c r="D6" s="264">
        <v>6</v>
      </c>
      <c r="E6" s="264">
        <v>6</v>
      </c>
      <c r="F6" s="264">
        <f t="shared" ref="F6:F13" si="0">E6/12</f>
        <v>0.5</v>
      </c>
      <c r="G6" s="264">
        <v>2</v>
      </c>
      <c r="H6" s="264">
        <f t="shared" ref="H6:H7" si="1">E6</f>
        <v>6</v>
      </c>
    </row>
    <row r="7" spans="1:8" s="6" customFormat="1" x14ac:dyDescent="0.2">
      <c r="A7" s="38">
        <v>3</v>
      </c>
      <c r="B7" s="38">
        <v>1772000511</v>
      </c>
      <c r="C7" s="184" t="s">
        <v>433</v>
      </c>
      <c r="D7" s="264">
        <v>26</v>
      </c>
      <c r="E7" s="264">
        <v>23</v>
      </c>
      <c r="F7" s="264">
        <f t="shared" si="0"/>
        <v>1.9166666666666667</v>
      </c>
      <c r="G7" s="264">
        <v>2</v>
      </c>
      <c r="H7" s="264">
        <f t="shared" si="1"/>
        <v>23</v>
      </c>
    </row>
    <row r="8" spans="1:8" s="203" customFormat="1" ht="24" customHeight="1" x14ac:dyDescent="0.2">
      <c r="A8" s="38">
        <v>4</v>
      </c>
      <c r="B8" s="201">
        <v>1772000810</v>
      </c>
      <c r="C8" s="202" t="s">
        <v>890</v>
      </c>
      <c r="D8" s="264">
        <v>170</v>
      </c>
      <c r="E8" s="203">
        <v>170</v>
      </c>
      <c r="F8" s="264">
        <f t="shared" si="0"/>
        <v>14.166666666666666</v>
      </c>
      <c r="G8" s="280">
        <v>0</v>
      </c>
      <c r="H8" s="280">
        <v>223</v>
      </c>
    </row>
    <row r="9" spans="1:8" s="6" customFormat="1" x14ac:dyDescent="0.2">
      <c r="A9" s="38">
        <v>5</v>
      </c>
      <c r="B9" s="38">
        <v>1772110781</v>
      </c>
      <c r="C9" s="184" t="s">
        <v>891</v>
      </c>
      <c r="D9" s="264">
        <v>15</v>
      </c>
      <c r="E9" s="264">
        <v>15</v>
      </c>
      <c r="F9" s="264">
        <f t="shared" si="0"/>
        <v>1.25</v>
      </c>
      <c r="G9" s="264">
        <v>3</v>
      </c>
      <c r="H9" s="280">
        <f>E9</f>
        <v>15</v>
      </c>
    </row>
    <row r="10" spans="1:8" s="6" customFormat="1" x14ac:dyDescent="0.2">
      <c r="A10" s="38">
        <v>6</v>
      </c>
      <c r="B10" s="38">
        <v>1772000750</v>
      </c>
      <c r="C10" s="184" t="s">
        <v>1217</v>
      </c>
      <c r="D10" s="264"/>
      <c r="E10" s="264"/>
      <c r="F10" s="264"/>
      <c r="G10" s="264"/>
      <c r="H10" s="280">
        <f>4*12</f>
        <v>48</v>
      </c>
    </row>
    <row r="11" spans="1:8" s="6" customFormat="1" x14ac:dyDescent="0.2">
      <c r="A11" s="38">
        <v>7</v>
      </c>
      <c r="B11" s="38">
        <v>1772300781</v>
      </c>
      <c r="C11" s="184" t="s">
        <v>892</v>
      </c>
      <c r="D11" s="264">
        <v>7</v>
      </c>
      <c r="E11" s="264">
        <v>7</v>
      </c>
      <c r="F11" s="264">
        <f t="shared" si="0"/>
        <v>0.58333333333333337</v>
      </c>
      <c r="G11" s="264">
        <v>0</v>
      </c>
      <c r="H11" s="264">
        <f t="shared" ref="H11:H13" si="2">E11</f>
        <v>7</v>
      </c>
    </row>
    <row r="12" spans="1:8" s="6" customFormat="1" ht="13.15" customHeight="1" x14ac:dyDescent="0.2">
      <c r="A12" s="38">
        <v>8</v>
      </c>
      <c r="B12" s="38">
        <v>1772500781</v>
      </c>
      <c r="C12" s="184" t="s">
        <v>893</v>
      </c>
      <c r="D12" s="264">
        <v>0</v>
      </c>
      <c r="E12" s="264">
        <v>0</v>
      </c>
      <c r="F12" s="264">
        <f t="shared" si="0"/>
        <v>0</v>
      </c>
      <c r="G12" s="264">
        <v>0</v>
      </c>
      <c r="H12" s="264">
        <f t="shared" si="2"/>
        <v>0</v>
      </c>
    </row>
    <row r="13" spans="1:8" s="6" customFormat="1" x14ac:dyDescent="0.2">
      <c r="A13" s="38">
        <v>9</v>
      </c>
      <c r="B13" s="38">
        <v>1772600781</v>
      </c>
      <c r="C13" s="184" t="s">
        <v>1006</v>
      </c>
      <c r="D13" s="264">
        <v>0</v>
      </c>
      <c r="E13" s="264">
        <v>0</v>
      </c>
      <c r="F13" s="264">
        <f t="shared" si="0"/>
        <v>0</v>
      </c>
      <c r="G13" s="264">
        <v>0</v>
      </c>
      <c r="H13" s="264">
        <f t="shared" si="2"/>
        <v>0</v>
      </c>
    </row>
    <row r="14" spans="1:8" ht="15" x14ac:dyDescent="0.2">
      <c r="A14" s="3"/>
      <c r="B14" s="438" t="s">
        <v>453</v>
      </c>
      <c r="C14" s="439"/>
      <c r="D14" s="112">
        <f t="shared" ref="D14:E14" si="3">SUM(D5:D13)</f>
        <v>283</v>
      </c>
      <c r="E14" s="112">
        <f t="shared" si="3"/>
        <v>280</v>
      </c>
      <c r="F14" s="279">
        <f>SUM(F5:F13)</f>
        <v>23.333333333333332</v>
      </c>
      <c r="G14" s="279">
        <f>SUM(G5:G13)</f>
        <v>22</v>
      </c>
      <c r="H14" s="279">
        <f>SUM(H5:H13)</f>
        <v>381</v>
      </c>
    </row>
  </sheetData>
  <mergeCells count="2">
    <mergeCell ref="B14:C14"/>
    <mergeCell ref="A2:H2"/>
  </mergeCells>
  <pageMargins left="0.70866141732283472" right="0.70866141732283472" top="0.74803149606299213" bottom="0.74803149606299213" header="0.31496062992125984" footer="0.31496062992125984"/>
  <pageSetup paperSize="9" scale="87" firstPageNumber="16" orientation="portrait" useFirstPageNumber="1" r:id="rId1"/>
  <headerFooter>
    <oddFooter>עמוד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4">
    <pageSetUpPr fitToPage="1"/>
  </sheetPr>
  <dimension ref="A2:H57"/>
  <sheetViews>
    <sheetView rightToLeft="1" topLeftCell="A39" zoomScale="120" zoomScaleNormal="120" zoomScaleSheetLayoutView="79" workbookViewId="0">
      <selection activeCell="A8" sqref="A8:XFD8"/>
    </sheetView>
  </sheetViews>
  <sheetFormatPr defaultRowHeight="14.25" x14ac:dyDescent="0.2"/>
  <cols>
    <col min="1" max="1" width="3.125" customWidth="1"/>
    <col min="2" max="2" width="11.875" customWidth="1"/>
    <col min="3" max="3" width="23.25" customWidth="1"/>
    <col min="4" max="4" width="13.875" customWidth="1"/>
    <col min="5" max="5" width="11.875" customWidth="1"/>
    <col min="8" max="8" width="13.5" customWidth="1"/>
  </cols>
  <sheetData>
    <row r="2" spans="1:8" ht="23.25" x14ac:dyDescent="0.2">
      <c r="B2" s="7">
        <v>470</v>
      </c>
      <c r="C2" s="436" t="s">
        <v>484</v>
      </c>
      <c r="D2" s="436"/>
      <c r="E2" s="436"/>
      <c r="F2" s="436"/>
      <c r="G2" s="436"/>
      <c r="H2" s="436"/>
    </row>
    <row r="4" spans="1:8" s="124" customFormat="1" ht="63" x14ac:dyDescent="0.2">
      <c r="A4" s="123" t="s">
        <v>598</v>
      </c>
      <c r="B4" s="123" t="s">
        <v>430</v>
      </c>
      <c r="C4" s="123" t="s">
        <v>385</v>
      </c>
      <c r="D4" s="113" t="s">
        <v>1159</v>
      </c>
      <c r="E4" s="113" t="s">
        <v>1156</v>
      </c>
      <c r="F4" s="175" t="s">
        <v>1160</v>
      </c>
      <c r="G4" s="175" t="s">
        <v>1161</v>
      </c>
      <c r="H4" s="175" t="s">
        <v>1162</v>
      </c>
    </row>
    <row r="5" spans="1:8" x14ac:dyDescent="0.2">
      <c r="A5" s="3">
        <v>1</v>
      </c>
      <c r="B5" s="3">
        <v>1611000470</v>
      </c>
      <c r="C5" s="3" t="s">
        <v>154</v>
      </c>
      <c r="D5" s="3">
        <v>40</v>
      </c>
      <c r="E5" s="3">
        <v>40</v>
      </c>
      <c r="F5" s="31">
        <f>E5/12</f>
        <v>3.3333333333333335</v>
      </c>
      <c r="G5" s="3">
        <v>0</v>
      </c>
      <c r="H5" s="3">
        <f t="shared" ref="H5:H41" si="0">E5</f>
        <v>40</v>
      </c>
    </row>
    <row r="6" spans="1:8" x14ac:dyDescent="0.2">
      <c r="A6" s="3">
        <v>3</v>
      </c>
      <c r="B6" s="3">
        <v>1612000470</v>
      </c>
      <c r="C6" s="3" t="s">
        <v>161</v>
      </c>
      <c r="D6" s="111">
        <v>40</v>
      </c>
      <c r="E6" s="111">
        <v>40</v>
      </c>
      <c r="F6" s="31">
        <f t="shared" ref="F6:F41" si="1">E6/12</f>
        <v>3.3333333333333335</v>
      </c>
      <c r="G6" s="111">
        <v>0</v>
      </c>
      <c r="H6" s="3">
        <f t="shared" si="0"/>
        <v>40</v>
      </c>
    </row>
    <row r="7" spans="1:8" x14ac:dyDescent="0.2">
      <c r="A7" s="3">
        <v>4</v>
      </c>
      <c r="B7" s="3">
        <v>1613000470</v>
      </c>
      <c r="C7" s="3" t="s">
        <v>166</v>
      </c>
      <c r="D7" s="111">
        <v>330</v>
      </c>
      <c r="E7" s="111">
        <v>330</v>
      </c>
      <c r="F7" s="31">
        <f t="shared" si="1"/>
        <v>27.5</v>
      </c>
      <c r="G7" s="111">
        <v>33</v>
      </c>
      <c r="H7" s="3">
        <f t="shared" si="0"/>
        <v>330</v>
      </c>
    </row>
    <row r="8" spans="1:8" x14ac:dyDescent="0.2">
      <c r="A8" s="3">
        <v>5</v>
      </c>
      <c r="B8" s="3">
        <v>1613100470</v>
      </c>
      <c r="C8" s="3" t="s">
        <v>473</v>
      </c>
      <c r="D8" s="111">
        <f>66+14</f>
        <v>80</v>
      </c>
      <c r="E8" s="111">
        <v>70</v>
      </c>
      <c r="F8" s="31">
        <f t="shared" si="1"/>
        <v>5.833333333333333</v>
      </c>
      <c r="G8" s="111">
        <v>18</v>
      </c>
      <c r="H8" s="3">
        <f t="shared" si="0"/>
        <v>70</v>
      </c>
    </row>
    <row r="9" spans="1:8" x14ac:dyDescent="0.2">
      <c r="A9" s="3">
        <v>6</v>
      </c>
      <c r="B9" s="3">
        <v>1617000470</v>
      </c>
      <c r="C9" s="3" t="s">
        <v>184</v>
      </c>
      <c r="D9" s="111">
        <v>7</v>
      </c>
      <c r="E9" s="111">
        <v>7</v>
      </c>
      <c r="F9" s="31">
        <f t="shared" si="1"/>
        <v>0.58333333333333337</v>
      </c>
      <c r="G9" s="111">
        <v>0</v>
      </c>
      <c r="H9" s="3">
        <f t="shared" si="0"/>
        <v>7</v>
      </c>
    </row>
    <row r="10" spans="1:8" x14ac:dyDescent="0.2">
      <c r="A10" s="3">
        <v>7</v>
      </c>
      <c r="B10" s="3">
        <v>1617100470</v>
      </c>
      <c r="C10" s="3" t="s">
        <v>184</v>
      </c>
      <c r="D10" s="3">
        <v>3</v>
      </c>
      <c r="E10" s="3">
        <v>3</v>
      </c>
      <c r="F10" s="31">
        <f t="shared" si="1"/>
        <v>0.25</v>
      </c>
      <c r="G10" s="3">
        <v>1</v>
      </c>
      <c r="H10" s="3">
        <f t="shared" si="0"/>
        <v>3</v>
      </c>
    </row>
    <row r="11" spans="1:8" x14ac:dyDescent="0.2">
      <c r="A11" s="3">
        <v>8</v>
      </c>
      <c r="B11" s="3">
        <v>1621000470</v>
      </c>
      <c r="C11" s="3" t="s">
        <v>185</v>
      </c>
      <c r="D11" s="3">
        <v>20</v>
      </c>
      <c r="E11" s="3">
        <v>20</v>
      </c>
      <c r="F11" s="31">
        <f t="shared" si="1"/>
        <v>1.6666666666666667</v>
      </c>
      <c r="G11" s="3">
        <v>0</v>
      </c>
      <c r="H11" s="3">
        <f t="shared" si="0"/>
        <v>20</v>
      </c>
    </row>
    <row r="12" spans="1:8" x14ac:dyDescent="0.2">
      <c r="A12" s="3">
        <v>9</v>
      </c>
      <c r="B12" s="3">
        <v>1621300470</v>
      </c>
      <c r="C12" s="3" t="s">
        <v>190</v>
      </c>
      <c r="D12" s="3">
        <v>12</v>
      </c>
      <c r="E12" s="3">
        <v>12</v>
      </c>
      <c r="F12" s="31">
        <f t="shared" si="1"/>
        <v>1</v>
      </c>
      <c r="G12" s="3">
        <v>0</v>
      </c>
      <c r="H12" s="3">
        <f t="shared" si="0"/>
        <v>12</v>
      </c>
    </row>
    <row r="13" spans="1:8" x14ac:dyDescent="0.2">
      <c r="A13" s="3">
        <v>10</v>
      </c>
      <c r="B13" s="3">
        <v>1621310470</v>
      </c>
      <c r="C13" s="3" t="s">
        <v>190</v>
      </c>
      <c r="D13" s="3">
        <v>6</v>
      </c>
      <c r="E13" s="3">
        <v>6</v>
      </c>
      <c r="F13" s="31">
        <f t="shared" si="1"/>
        <v>0.5</v>
      </c>
      <c r="G13" s="3">
        <v>6</v>
      </c>
      <c r="H13" s="3">
        <f t="shared" si="0"/>
        <v>6</v>
      </c>
    </row>
    <row r="14" spans="1:8" x14ac:dyDescent="0.2">
      <c r="A14" s="3">
        <v>11</v>
      </c>
      <c r="B14" s="3">
        <v>1623000470</v>
      </c>
      <c r="C14" s="3" t="s">
        <v>193</v>
      </c>
      <c r="D14" s="3">
        <v>24</v>
      </c>
      <c r="E14" s="3">
        <v>24</v>
      </c>
      <c r="F14" s="31">
        <f t="shared" si="1"/>
        <v>2</v>
      </c>
      <c r="G14" s="3">
        <v>0</v>
      </c>
      <c r="H14" s="3">
        <f t="shared" si="0"/>
        <v>24</v>
      </c>
    </row>
    <row r="15" spans="1:8" x14ac:dyDescent="0.2">
      <c r="A15" s="3">
        <v>12</v>
      </c>
      <c r="B15" s="3">
        <v>1711000470</v>
      </c>
      <c r="C15" s="3" t="s">
        <v>199</v>
      </c>
      <c r="D15" s="3">
        <v>18</v>
      </c>
      <c r="E15" s="3">
        <v>18</v>
      </c>
      <c r="F15" s="31">
        <f t="shared" si="1"/>
        <v>1.5</v>
      </c>
      <c r="G15" s="3">
        <v>0</v>
      </c>
      <c r="H15" s="3">
        <f t="shared" si="0"/>
        <v>18</v>
      </c>
    </row>
    <row r="16" spans="1:8" x14ac:dyDescent="0.2">
      <c r="A16" s="3">
        <v>13</v>
      </c>
      <c r="B16" s="3">
        <v>1721000470</v>
      </c>
      <c r="C16" s="111" t="s">
        <v>217</v>
      </c>
      <c r="D16" s="3">
        <v>9</v>
      </c>
      <c r="E16" s="3">
        <v>9</v>
      </c>
      <c r="F16" s="31">
        <f t="shared" si="1"/>
        <v>0.75</v>
      </c>
      <c r="G16" s="3">
        <v>0</v>
      </c>
      <c r="H16" s="3">
        <f t="shared" si="0"/>
        <v>9</v>
      </c>
    </row>
    <row r="17" spans="1:8" x14ac:dyDescent="0.2">
      <c r="A17" s="3">
        <v>14</v>
      </c>
      <c r="B17" s="3">
        <v>1722100470</v>
      </c>
      <c r="C17" s="3" t="s">
        <v>970</v>
      </c>
      <c r="D17" s="3">
        <v>2</v>
      </c>
      <c r="E17" s="3">
        <v>2</v>
      </c>
      <c r="F17" s="31">
        <f t="shared" si="1"/>
        <v>0.16666666666666666</v>
      </c>
      <c r="G17" s="3">
        <v>0</v>
      </c>
      <c r="H17" s="3">
        <f t="shared" si="0"/>
        <v>2</v>
      </c>
    </row>
    <row r="18" spans="1:8" x14ac:dyDescent="0.2">
      <c r="A18" s="3">
        <v>15</v>
      </c>
      <c r="B18" s="3">
        <v>1731000470</v>
      </c>
      <c r="C18" s="3" t="s">
        <v>228</v>
      </c>
      <c r="D18" s="3">
        <v>42</v>
      </c>
      <c r="E18" s="3">
        <v>42</v>
      </c>
      <c r="F18" s="31">
        <f t="shared" si="1"/>
        <v>3.5</v>
      </c>
      <c r="G18" s="3">
        <v>0</v>
      </c>
      <c r="H18" s="3">
        <f t="shared" si="0"/>
        <v>42</v>
      </c>
    </row>
    <row r="19" spans="1:8" x14ac:dyDescent="0.2">
      <c r="A19" s="3">
        <v>16</v>
      </c>
      <c r="B19" s="3">
        <v>1731100470</v>
      </c>
      <c r="C19" s="3" t="s">
        <v>228</v>
      </c>
      <c r="D19" s="3">
        <v>4</v>
      </c>
      <c r="E19" s="3">
        <v>4</v>
      </c>
      <c r="F19" s="31">
        <f t="shared" si="1"/>
        <v>0.33333333333333331</v>
      </c>
      <c r="G19" s="3">
        <v>2</v>
      </c>
      <c r="H19" s="3">
        <f t="shared" si="0"/>
        <v>4</v>
      </c>
    </row>
    <row r="20" spans="1:8" x14ac:dyDescent="0.2">
      <c r="A20" s="3">
        <v>17</v>
      </c>
      <c r="B20" s="3">
        <v>1732000470</v>
      </c>
      <c r="C20" s="3" t="s">
        <v>234</v>
      </c>
      <c r="D20" s="3">
        <v>1</v>
      </c>
      <c r="E20" s="3">
        <v>1</v>
      </c>
      <c r="F20" s="31">
        <f t="shared" si="1"/>
        <v>8.3333333333333329E-2</v>
      </c>
      <c r="G20" s="3">
        <v>3</v>
      </c>
      <c r="H20" s="3">
        <f t="shared" si="0"/>
        <v>1</v>
      </c>
    </row>
    <row r="21" spans="1:8" x14ac:dyDescent="0.2">
      <c r="A21" s="3">
        <v>18</v>
      </c>
      <c r="B21" s="3">
        <v>1746000470</v>
      </c>
      <c r="C21" s="3" t="s">
        <v>240</v>
      </c>
      <c r="D21" s="3">
        <v>2</v>
      </c>
      <c r="E21" s="3">
        <v>2</v>
      </c>
      <c r="F21" s="31">
        <f t="shared" si="1"/>
        <v>0.16666666666666666</v>
      </c>
      <c r="G21" s="3">
        <v>0</v>
      </c>
      <c r="H21" s="3">
        <f t="shared" si="0"/>
        <v>2</v>
      </c>
    </row>
    <row r="22" spans="1:8" x14ac:dyDescent="0.2">
      <c r="A22" s="3">
        <v>19</v>
      </c>
      <c r="B22" s="3">
        <v>1770000470</v>
      </c>
      <c r="C22" s="3" t="s">
        <v>258</v>
      </c>
      <c r="D22" s="3">
        <v>1</v>
      </c>
      <c r="E22" s="3">
        <v>1</v>
      </c>
      <c r="F22" s="31">
        <f t="shared" si="1"/>
        <v>8.3333333333333329E-2</v>
      </c>
      <c r="G22" s="3">
        <v>0</v>
      </c>
      <c r="H22" s="3">
        <f t="shared" si="0"/>
        <v>1</v>
      </c>
    </row>
    <row r="23" spans="1:8" x14ac:dyDescent="0.2">
      <c r="A23" s="3">
        <v>20</v>
      </c>
      <c r="B23" s="3">
        <v>1772000470</v>
      </c>
      <c r="C23" s="3" t="s">
        <v>972</v>
      </c>
      <c r="D23" s="3">
        <v>10</v>
      </c>
      <c r="E23" s="3">
        <v>10</v>
      </c>
      <c r="F23" s="31">
        <f t="shared" si="1"/>
        <v>0.83333333333333337</v>
      </c>
      <c r="G23" s="3">
        <v>2</v>
      </c>
      <c r="H23" s="3">
        <f t="shared" si="0"/>
        <v>10</v>
      </c>
    </row>
    <row r="24" spans="1:8" x14ac:dyDescent="0.2">
      <c r="A24" s="3">
        <v>21</v>
      </c>
      <c r="B24" s="3">
        <v>1782000470</v>
      </c>
      <c r="C24" s="3" t="s">
        <v>261</v>
      </c>
      <c r="D24" s="3">
        <v>0</v>
      </c>
      <c r="E24" s="3">
        <v>0</v>
      </c>
      <c r="F24" s="31">
        <f t="shared" si="1"/>
        <v>0</v>
      </c>
      <c r="G24" s="3">
        <v>0</v>
      </c>
      <c r="H24" s="3">
        <f t="shared" si="0"/>
        <v>0</v>
      </c>
    </row>
    <row r="25" spans="1:8" x14ac:dyDescent="0.2">
      <c r="A25" s="3">
        <v>22</v>
      </c>
      <c r="B25" s="3">
        <v>1811000470</v>
      </c>
      <c r="C25" s="3" t="s">
        <v>262</v>
      </c>
      <c r="D25" s="3">
        <v>24</v>
      </c>
      <c r="E25" s="3">
        <v>24</v>
      </c>
      <c r="F25" s="31">
        <f t="shared" si="1"/>
        <v>2</v>
      </c>
      <c r="G25" s="3">
        <v>0</v>
      </c>
      <c r="H25" s="3">
        <f t="shared" si="0"/>
        <v>24</v>
      </c>
    </row>
    <row r="26" spans="1:8" x14ac:dyDescent="0.2">
      <c r="A26" s="3">
        <v>23</v>
      </c>
      <c r="B26" s="3">
        <v>1813210470</v>
      </c>
      <c r="C26" s="3" t="s">
        <v>475</v>
      </c>
      <c r="D26" s="3">
        <v>4</v>
      </c>
      <c r="E26" s="3">
        <v>4</v>
      </c>
      <c r="F26" s="31">
        <f t="shared" si="1"/>
        <v>0.33333333333333331</v>
      </c>
      <c r="G26" s="3">
        <v>0</v>
      </c>
      <c r="H26" s="3">
        <f t="shared" si="0"/>
        <v>4</v>
      </c>
    </row>
    <row r="27" spans="1:8" x14ac:dyDescent="0.2">
      <c r="A27" s="3">
        <v>24</v>
      </c>
      <c r="B27" s="3">
        <v>1813700470</v>
      </c>
      <c r="C27" s="3" t="s">
        <v>283</v>
      </c>
      <c r="D27" s="3">
        <v>1</v>
      </c>
      <c r="E27" s="3">
        <v>1</v>
      </c>
      <c r="F27" s="31">
        <f t="shared" si="1"/>
        <v>8.3333333333333329E-2</v>
      </c>
      <c r="G27" s="3">
        <v>0</v>
      </c>
      <c r="H27" s="111">
        <v>1</v>
      </c>
    </row>
    <row r="28" spans="1:8" x14ac:dyDescent="0.2">
      <c r="A28" s="3">
        <v>25</v>
      </c>
      <c r="B28" s="3">
        <v>1815500470</v>
      </c>
      <c r="C28" s="3" t="s">
        <v>476</v>
      </c>
      <c r="D28" s="3">
        <v>1</v>
      </c>
      <c r="E28" s="3">
        <v>1</v>
      </c>
      <c r="F28" s="31">
        <f t="shared" si="1"/>
        <v>8.3333333333333329E-2</v>
      </c>
      <c r="G28" s="3">
        <v>0</v>
      </c>
      <c r="H28" s="3">
        <f t="shared" si="0"/>
        <v>1</v>
      </c>
    </row>
    <row r="29" spans="1:8" x14ac:dyDescent="0.2">
      <c r="A29" s="3">
        <v>26</v>
      </c>
      <c r="B29" s="3">
        <v>1815510470</v>
      </c>
      <c r="C29" s="3" t="s">
        <v>476</v>
      </c>
      <c r="D29" s="111">
        <f>13-7</f>
        <v>6</v>
      </c>
      <c r="E29" s="111">
        <v>6</v>
      </c>
      <c r="F29" s="31">
        <f t="shared" si="1"/>
        <v>0.5</v>
      </c>
      <c r="G29" s="111">
        <v>0</v>
      </c>
      <c r="H29" s="3">
        <f t="shared" si="0"/>
        <v>6</v>
      </c>
    </row>
    <row r="30" spans="1:8" x14ac:dyDescent="0.2">
      <c r="A30" s="3">
        <v>27</v>
      </c>
      <c r="B30" s="3">
        <v>1817300470</v>
      </c>
      <c r="C30" s="3" t="s">
        <v>288</v>
      </c>
      <c r="D30" s="3">
        <v>4</v>
      </c>
      <c r="E30" s="3">
        <v>4</v>
      </c>
      <c r="F30" s="31">
        <f t="shared" si="1"/>
        <v>0.33333333333333331</v>
      </c>
      <c r="G30" s="3">
        <v>0</v>
      </c>
      <c r="H30" s="3">
        <f t="shared" si="0"/>
        <v>4</v>
      </c>
    </row>
    <row r="31" spans="1:8" x14ac:dyDescent="0.2">
      <c r="A31" s="3">
        <v>28</v>
      </c>
      <c r="B31" s="3">
        <v>1822110470</v>
      </c>
      <c r="C31" s="3" t="s">
        <v>971</v>
      </c>
      <c r="D31" s="3">
        <v>1</v>
      </c>
      <c r="E31" s="3">
        <v>1</v>
      </c>
      <c r="F31" s="31">
        <f t="shared" si="1"/>
        <v>8.3333333333333329E-2</v>
      </c>
      <c r="G31" s="3">
        <v>0</v>
      </c>
      <c r="H31" s="3">
        <f t="shared" si="0"/>
        <v>1</v>
      </c>
    </row>
    <row r="32" spans="1:8" x14ac:dyDescent="0.2">
      <c r="A32" s="3">
        <v>29</v>
      </c>
      <c r="B32" s="3">
        <v>1822200470</v>
      </c>
      <c r="C32" s="3" t="s">
        <v>297</v>
      </c>
      <c r="D32" s="3">
        <v>3</v>
      </c>
      <c r="E32" s="3">
        <v>3</v>
      </c>
      <c r="F32" s="31">
        <f t="shared" si="1"/>
        <v>0.25</v>
      </c>
      <c r="G32" s="3">
        <v>0</v>
      </c>
      <c r="H32" s="3">
        <f t="shared" si="0"/>
        <v>3</v>
      </c>
    </row>
    <row r="33" spans="1:8" x14ac:dyDescent="0.2">
      <c r="A33" s="3">
        <v>30</v>
      </c>
      <c r="B33" s="3">
        <v>1823000470</v>
      </c>
      <c r="C33" s="3" t="s">
        <v>304</v>
      </c>
      <c r="D33" s="3">
        <v>3</v>
      </c>
      <c r="E33" s="3">
        <v>3</v>
      </c>
      <c r="F33" s="31">
        <f t="shared" si="1"/>
        <v>0.25</v>
      </c>
      <c r="G33" s="3">
        <v>0</v>
      </c>
      <c r="H33" s="3">
        <f t="shared" si="0"/>
        <v>3</v>
      </c>
    </row>
    <row r="34" spans="1:8" x14ac:dyDescent="0.2">
      <c r="A34" s="3">
        <v>31</v>
      </c>
      <c r="B34" s="3">
        <v>1826100470</v>
      </c>
      <c r="C34" s="3" t="s">
        <v>477</v>
      </c>
      <c r="D34" s="3">
        <v>12</v>
      </c>
      <c r="E34" s="3">
        <v>12</v>
      </c>
      <c r="F34" s="31">
        <f t="shared" si="1"/>
        <v>1</v>
      </c>
      <c r="G34" s="3">
        <v>0</v>
      </c>
      <c r="H34" s="3">
        <f t="shared" si="0"/>
        <v>12</v>
      </c>
    </row>
    <row r="35" spans="1:8" x14ac:dyDescent="0.2">
      <c r="A35" s="3">
        <v>32</v>
      </c>
      <c r="B35" s="3">
        <v>1828200470</v>
      </c>
      <c r="C35" s="3" t="s">
        <v>314</v>
      </c>
      <c r="D35" s="3">
        <v>10</v>
      </c>
      <c r="E35" s="3">
        <v>10</v>
      </c>
      <c r="F35" s="31">
        <f t="shared" si="1"/>
        <v>0.83333333333333337</v>
      </c>
      <c r="G35" s="3">
        <v>0</v>
      </c>
      <c r="H35" s="3">
        <f t="shared" si="0"/>
        <v>10</v>
      </c>
    </row>
    <row r="36" spans="1:8" x14ac:dyDescent="0.2">
      <c r="A36" s="3">
        <v>33</v>
      </c>
      <c r="B36" s="3">
        <v>1841000470</v>
      </c>
      <c r="C36" s="3" t="s">
        <v>318</v>
      </c>
      <c r="D36" s="3">
        <v>20</v>
      </c>
      <c r="E36" s="3">
        <v>20</v>
      </c>
      <c r="F36" s="31">
        <f t="shared" si="1"/>
        <v>1.6666666666666667</v>
      </c>
      <c r="G36" s="3">
        <v>0</v>
      </c>
      <c r="H36" s="3">
        <f t="shared" si="0"/>
        <v>20</v>
      </c>
    </row>
    <row r="37" spans="1:8" hidden="1" x14ac:dyDescent="0.2">
      <c r="A37" s="3">
        <v>34</v>
      </c>
      <c r="B37" s="3">
        <v>1844400470</v>
      </c>
      <c r="C37" s="3" t="s">
        <v>318</v>
      </c>
      <c r="D37" s="3"/>
      <c r="E37" s="3"/>
      <c r="F37" s="31">
        <f t="shared" si="1"/>
        <v>0</v>
      </c>
      <c r="G37" s="3"/>
      <c r="H37" s="3">
        <f t="shared" si="0"/>
        <v>0</v>
      </c>
    </row>
    <row r="38" spans="1:8" x14ac:dyDescent="0.2">
      <c r="A38" s="3">
        <v>35</v>
      </c>
      <c r="B38" s="3">
        <v>1860000470</v>
      </c>
      <c r="C38" s="3" t="s">
        <v>357</v>
      </c>
      <c r="D38" s="3">
        <v>4</v>
      </c>
      <c r="E38" s="3">
        <v>4</v>
      </c>
      <c r="F38" s="31">
        <f t="shared" si="1"/>
        <v>0.33333333333333331</v>
      </c>
      <c r="G38" s="3">
        <v>0</v>
      </c>
      <c r="H38" s="3">
        <f t="shared" si="0"/>
        <v>4</v>
      </c>
    </row>
    <row r="39" spans="1:8" x14ac:dyDescent="0.2">
      <c r="A39" s="3">
        <v>36</v>
      </c>
      <c r="B39" s="3">
        <v>1913000470</v>
      </c>
      <c r="C39" s="3" t="s">
        <v>360</v>
      </c>
      <c r="D39" s="3">
        <v>3</v>
      </c>
      <c r="E39" s="3">
        <v>3</v>
      </c>
      <c r="F39" s="31">
        <f t="shared" si="1"/>
        <v>0.25</v>
      </c>
      <c r="G39" s="3">
        <v>0</v>
      </c>
      <c r="H39" s="3">
        <f t="shared" si="0"/>
        <v>3</v>
      </c>
    </row>
    <row r="40" spans="1:8" x14ac:dyDescent="0.2">
      <c r="A40" s="3">
        <v>37</v>
      </c>
      <c r="B40" s="3">
        <v>1933000470</v>
      </c>
      <c r="C40" s="3" t="s">
        <v>364</v>
      </c>
      <c r="D40" s="3">
        <v>13</v>
      </c>
      <c r="E40" s="3">
        <v>13</v>
      </c>
      <c r="F40" s="31">
        <f t="shared" si="1"/>
        <v>1.0833333333333333</v>
      </c>
      <c r="G40" s="3">
        <v>0</v>
      </c>
      <c r="H40" s="3">
        <f t="shared" si="0"/>
        <v>13</v>
      </c>
    </row>
    <row r="41" spans="1:8" x14ac:dyDescent="0.2">
      <c r="A41" s="3">
        <v>38</v>
      </c>
      <c r="B41" s="3">
        <v>1943000470</v>
      </c>
      <c r="C41" s="3" t="s">
        <v>368</v>
      </c>
      <c r="D41" s="3">
        <v>3</v>
      </c>
      <c r="E41" s="3">
        <v>3</v>
      </c>
      <c r="F41" s="31">
        <f t="shared" si="1"/>
        <v>0.25</v>
      </c>
      <c r="G41" s="3">
        <v>0</v>
      </c>
      <c r="H41" s="3">
        <f t="shared" si="0"/>
        <v>3</v>
      </c>
    </row>
    <row r="42" spans="1:8" ht="15" x14ac:dyDescent="0.25">
      <c r="A42" s="74"/>
      <c r="B42" s="417" t="s">
        <v>419</v>
      </c>
      <c r="C42" s="417"/>
      <c r="D42" s="103">
        <f t="shared" ref="D42:E42" si="2">SUM(D5:D41)</f>
        <v>763</v>
      </c>
      <c r="E42" s="103">
        <f t="shared" si="2"/>
        <v>753</v>
      </c>
      <c r="F42" s="103">
        <f>SUM(F5:F41)</f>
        <v>62.750000000000021</v>
      </c>
      <c r="G42" s="103">
        <f>SUM(G5:G41)</f>
        <v>65</v>
      </c>
      <c r="H42" s="103">
        <f>SUM(H5:H41)</f>
        <v>753</v>
      </c>
    </row>
    <row r="43" spans="1:8" ht="15" x14ac:dyDescent="0.25">
      <c r="B43" s="15"/>
      <c r="C43" s="15"/>
    </row>
    <row r="44" spans="1:8" ht="23.25" x14ac:dyDescent="0.2">
      <c r="B44" s="7">
        <v>511</v>
      </c>
      <c r="C44" s="436" t="s">
        <v>432</v>
      </c>
      <c r="D44" s="436"/>
      <c r="E44" s="436"/>
      <c r="F44" s="436"/>
      <c r="G44" s="436"/>
      <c r="H44" s="436"/>
    </row>
    <row r="46" spans="1:8" s="124" customFormat="1" ht="63" x14ac:dyDescent="0.2">
      <c r="A46" s="328" t="s">
        <v>598</v>
      </c>
      <c r="B46" s="328" t="s">
        <v>430</v>
      </c>
      <c r="C46" s="328" t="s">
        <v>385</v>
      </c>
      <c r="D46" s="330" t="s">
        <v>1159</v>
      </c>
      <c r="E46" s="330" t="s">
        <v>1156</v>
      </c>
      <c r="F46" s="331" t="s">
        <v>1160</v>
      </c>
      <c r="G46" s="331" t="s">
        <v>1161</v>
      </c>
      <c r="H46" s="331" t="s">
        <v>1162</v>
      </c>
    </row>
    <row r="47" spans="1:8" x14ac:dyDescent="0.2">
      <c r="A47" s="189">
        <v>1</v>
      </c>
      <c r="B47" s="189">
        <v>1611000511</v>
      </c>
      <c r="C47" s="189" t="s">
        <v>155</v>
      </c>
      <c r="D47" s="189">
        <v>18</v>
      </c>
      <c r="E47" s="189">
        <v>12</v>
      </c>
      <c r="F47" s="253">
        <f>E47/12</f>
        <v>1</v>
      </c>
      <c r="G47" s="189">
        <v>0</v>
      </c>
      <c r="H47" s="189">
        <f>E47</f>
        <v>12</v>
      </c>
    </row>
    <row r="48" spans="1:8" x14ac:dyDescent="0.2">
      <c r="A48" s="189">
        <v>2</v>
      </c>
      <c r="B48" s="189">
        <v>1613000511</v>
      </c>
      <c r="C48" s="189" t="s">
        <v>167</v>
      </c>
      <c r="D48" s="189">
        <v>107</v>
      </c>
      <c r="E48" s="189">
        <v>84</v>
      </c>
      <c r="F48" s="253">
        <f t="shared" ref="F48:F57" si="3">E48/12</f>
        <v>7</v>
      </c>
      <c r="G48" s="189">
        <v>21</v>
      </c>
      <c r="H48" s="189">
        <f t="shared" ref="H48:H53" si="4">E48</f>
        <v>84</v>
      </c>
    </row>
    <row r="49" spans="1:8" x14ac:dyDescent="0.2">
      <c r="A49" s="189">
        <v>3</v>
      </c>
      <c r="B49" s="189">
        <v>1617000511</v>
      </c>
      <c r="C49" s="189" t="s">
        <v>178</v>
      </c>
      <c r="D49" s="189">
        <v>1</v>
      </c>
      <c r="E49" s="189">
        <v>1</v>
      </c>
      <c r="F49" s="253">
        <f t="shared" si="3"/>
        <v>8.3333333333333329E-2</v>
      </c>
      <c r="G49" s="189">
        <v>1</v>
      </c>
      <c r="H49" s="189">
        <f t="shared" si="4"/>
        <v>1</v>
      </c>
    </row>
    <row r="50" spans="1:8" x14ac:dyDescent="0.2">
      <c r="A50" s="189">
        <v>4</v>
      </c>
      <c r="B50" s="189">
        <v>1621000511</v>
      </c>
      <c r="C50" s="189" t="s">
        <v>186</v>
      </c>
      <c r="D50" s="189">
        <v>3</v>
      </c>
      <c r="E50" s="189">
        <v>3</v>
      </c>
      <c r="F50" s="253">
        <f t="shared" si="3"/>
        <v>0.25</v>
      </c>
      <c r="G50" s="189">
        <v>1</v>
      </c>
      <c r="H50" s="189">
        <f t="shared" si="4"/>
        <v>3</v>
      </c>
    </row>
    <row r="51" spans="1:8" x14ac:dyDescent="0.2">
      <c r="A51" s="189">
        <v>5</v>
      </c>
      <c r="B51" s="189">
        <v>1621300511</v>
      </c>
      <c r="C51" s="189" t="s">
        <v>191</v>
      </c>
      <c r="D51" s="189">
        <v>1</v>
      </c>
      <c r="E51" s="189">
        <v>1</v>
      </c>
      <c r="F51" s="253">
        <f t="shared" si="3"/>
        <v>8.3333333333333329E-2</v>
      </c>
      <c r="G51" s="189">
        <v>0</v>
      </c>
      <c r="H51" s="189">
        <f t="shared" si="4"/>
        <v>1</v>
      </c>
    </row>
    <row r="52" spans="1:8" x14ac:dyDescent="0.2">
      <c r="A52" s="189">
        <v>6</v>
      </c>
      <c r="B52" s="189">
        <v>1623000511</v>
      </c>
      <c r="C52" s="189" t="s">
        <v>194</v>
      </c>
      <c r="D52" s="189">
        <v>1</v>
      </c>
      <c r="E52" s="189">
        <v>1</v>
      </c>
      <c r="F52" s="253">
        <f t="shared" si="3"/>
        <v>8.3333333333333329E-2</v>
      </c>
      <c r="G52" s="189">
        <v>0</v>
      </c>
      <c r="H52" s="189">
        <f t="shared" si="4"/>
        <v>1</v>
      </c>
    </row>
    <row r="53" spans="1:8" x14ac:dyDescent="0.2">
      <c r="A53" s="189">
        <v>7</v>
      </c>
      <c r="B53" s="189">
        <v>1711000511</v>
      </c>
      <c r="C53" s="189" t="s">
        <v>200</v>
      </c>
      <c r="D53" s="189">
        <v>1</v>
      </c>
      <c r="E53" s="189">
        <v>1</v>
      </c>
      <c r="F53" s="253">
        <f t="shared" si="3"/>
        <v>8.3333333333333329E-2</v>
      </c>
      <c r="G53" s="189">
        <v>0</v>
      </c>
      <c r="H53" s="189">
        <f t="shared" si="4"/>
        <v>1</v>
      </c>
    </row>
    <row r="54" spans="1:8" x14ac:dyDescent="0.2">
      <c r="A54" s="189">
        <v>8</v>
      </c>
      <c r="B54" s="189">
        <v>1731000511</v>
      </c>
      <c r="C54" s="189" t="s">
        <v>229</v>
      </c>
      <c r="D54" s="189">
        <v>1</v>
      </c>
      <c r="E54" s="189">
        <v>0</v>
      </c>
      <c r="F54" s="253">
        <f t="shared" si="3"/>
        <v>0</v>
      </c>
      <c r="G54" s="189">
        <v>0</v>
      </c>
      <c r="H54" s="189">
        <v>1</v>
      </c>
    </row>
    <row r="55" spans="1:8" x14ac:dyDescent="0.2">
      <c r="A55" s="189">
        <v>9</v>
      </c>
      <c r="B55" s="189">
        <v>1772000511</v>
      </c>
      <c r="C55" s="189" t="s">
        <v>1046</v>
      </c>
      <c r="D55" s="189">
        <v>20</v>
      </c>
      <c r="E55" s="189">
        <v>20</v>
      </c>
      <c r="F55" s="253">
        <f t="shared" si="3"/>
        <v>1.6666666666666667</v>
      </c>
      <c r="G55" s="189">
        <v>2</v>
      </c>
      <c r="H55" s="189">
        <f>E55</f>
        <v>20</v>
      </c>
    </row>
    <row r="56" spans="1:8" x14ac:dyDescent="0.2">
      <c r="A56" s="189">
        <v>10</v>
      </c>
      <c r="B56" s="189">
        <v>1841000511</v>
      </c>
      <c r="C56" s="189" t="s">
        <v>319</v>
      </c>
      <c r="D56" s="189">
        <v>7</v>
      </c>
      <c r="E56" s="189">
        <v>17</v>
      </c>
      <c r="F56" s="253">
        <f t="shared" si="3"/>
        <v>1.4166666666666667</v>
      </c>
      <c r="G56" s="189">
        <v>3</v>
      </c>
      <c r="H56" s="189">
        <f>E56</f>
        <v>17</v>
      </c>
    </row>
    <row r="57" spans="1:8" ht="15" x14ac:dyDescent="0.25">
      <c r="A57" s="338"/>
      <c r="B57" s="416" t="s">
        <v>419</v>
      </c>
      <c r="C57" s="416"/>
      <c r="D57" s="348">
        <f t="shared" ref="D57:E57" si="5">SUM(D47:D56)</f>
        <v>160</v>
      </c>
      <c r="E57" s="348">
        <f t="shared" si="5"/>
        <v>140</v>
      </c>
      <c r="F57" s="348">
        <f t="shared" si="3"/>
        <v>11.666666666666666</v>
      </c>
      <c r="G57" s="348">
        <f>SUM(G47:G56)</f>
        <v>28</v>
      </c>
      <c r="H57" s="348">
        <f>SUM(H47:H56)</f>
        <v>141</v>
      </c>
    </row>
  </sheetData>
  <mergeCells count="4">
    <mergeCell ref="B42:C42"/>
    <mergeCell ref="B57:C57"/>
    <mergeCell ref="C2:H2"/>
    <mergeCell ref="C44:H44"/>
  </mergeCells>
  <pageMargins left="0.15748031496062992" right="0.31496062992125984" top="0.74803149606299213" bottom="0.74803149606299213" header="0.31496062992125984" footer="0.31496062992125984"/>
  <pageSetup paperSize="9" scale="96" firstPageNumber="18" fitToHeight="0" orientation="portrait" useFirstPageNumber="1" r:id="rId1"/>
  <headerFooter>
    <oddFooter>עמוד &amp;P</oddFooter>
  </headerFooter>
  <rowBreaks count="1" manualBreakCount="1">
    <brk id="43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5">
    <pageSetUpPr fitToPage="1"/>
  </sheetPr>
  <dimension ref="A2:P36"/>
  <sheetViews>
    <sheetView rightToLeft="1" zoomScale="110" zoomScaleNormal="110" zoomScaleSheetLayoutView="85" workbookViewId="0">
      <selection activeCell="E15" sqref="A4:F22"/>
    </sheetView>
  </sheetViews>
  <sheetFormatPr defaultRowHeight="14.25" x14ac:dyDescent="0.2"/>
  <cols>
    <col min="1" max="1" width="3.125" customWidth="1"/>
    <col min="2" max="2" width="14.625" customWidth="1"/>
    <col min="3" max="3" width="27.625" customWidth="1"/>
    <col min="4" max="4" width="12.625" customWidth="1"/>
    <col min="5" max="5" width="15.625" customWidth="1"/>
    <col min="6" max="6" width="11.125" bestFit="1" customWidth="1"/>
  </cols>
  <sheetData>
    <row r="2" spans="1:8" ht="23.25" x14ac:dyDescent="0.2">
      <c r="B2" s="132" t="s">
        <v>1005</v>
      </c>
      <c r="C2" s="408" t="s">
        <v>428</v>
      </c>
      <c r="D2" s="408"/>
      <c r="E2" s="408"/>
      <c r="F2" s="408"/>
    </row>
    <row r="3" spans="1:8" ht="18" x14ac:dyDescent="0.25">
      <c r="B3" s="5"/>
      <c r="C3" s="5"/>
    </row>
    <row r="4" spans="1:8" s="124" customFormat="1" ht="47.25" x14ac:dyDescent="0.2">
      <c r="A4" s="328" t="s">
        <v>596</v>
      </c>
      <c r="B4" s="328" t="s">
        <v>1146</v>
      </c>
      <c r="C4" s="328" t="s">
        <v>1</v>
      </c>
      <c r="D4" s="330" t="s">
        <v>1159</v>
      </c>
      <c r="E4" s="330" t="s">
        <v>1156</v>
      </c>
      <c r="F4" s="331" t="s">
        <v>1162</v>
      </c>
    </row>
    <row r="5" spans="1:8" s="133" customFormat="1" x14ac:dyDescent="0.2">
      <c r="A5" s="249">
        <v>1</v>
      </c>
      <c r="B5" s="375">
        <v>1613000430</v>
      </c>
      <c r="C5" s="375" t="s">
        <v>1074</v>
      </c>
      <c r="D5" s="249">
        <v>2100</v>
      </c>
      <c r="E5" s="249">
        <v>2100</v>
      </c>
      <c r="F5" s="249">
        <v>2500</v>
      </c>
      <c r="G5" s="161"/>
      <c r="H5" s="162"/>
    </row>
    <row r="6" spans="1:8" x14ac:dyDescent="0.2">
      <c r="A6" s="189">
        <v>2</v>
      </c>
      <c r="B6" s="189">
        <v>1617000430</v>
      </c>
      <c r="C6" s="189" t="s">
        <v>177</v>
      </c>
      <c r="D6" s="189">
        <v>1</v>
      </c>
      <c r="E6" s="189">
        <v>0</v>
      </c>
      <c r="F6" s="249">
        <f t="shared" ref="F6:F12" si="0">E6</f>
        <v>0</v>
      </c>
      <c r="G6" s="1"/>
      <c r="H6" s="59"/>
    </row>
    <row r="7" spans="1:8" x14ac:dyDescent="0.2">
      <c r="A7" s="249">
        <v>3</v>
      </c>
      <c r="B7" s="189">
        <v>1715000430</v>
      </c>
      <c r="C7" s="189" t="s">
        <v>216</v>
      </c>
      <c r="D7" s="189">
        <v>0</v>
      </c>
      <c r="E7" s="189">
        <v>0</v>
      </c>
      <c r="F7" s="249">
        <f t="shared" si="0"/>
        <v>0</v>
      </c>
      <c r="G7" s="1"/>
      <c r="H7" s="59"/>
    </row>
    <row r="8" spans="1:8" x14ac:dyDescent="0.2">
      <c r="A8" s="189">
        <v>4</v>
      </c>
      <c r="B8" s="189">
        <v>1723000430</v>
      </c>
      <c r="C8" s="189" t="s">
        <v>869</v>
      </c>
      <c r="D8" s="189">
        <v>24</v>
      </c>
      <c r="E8" s="189">
        <v>14</v>
      </c>
      <c r="F8" s="249">
        <f t="shared" si="0"/>
        <v>14</v>
      </c>
      <c r="H8" s="59"/>
    </row>
    <row r="9" spans="1:8" x14ac:dyDescent="0.2">
      <c r="A9" s="249">
        <v>5</v>
      </c>
      <c r="B9" s="189">
        <v>1723100430</v>
      </c>
      <c r="C9" s="189" t="s">
        <v>527</v>
      </c>
      <c r="D9" s="189">
        <v>110</v>
      </c>
      <c r="E9" s="189">
        <v>110</v>
      </c>
      <c r="F9" s="249">
        <f t="shared" si="0"/>
        <v>110</v>
      </c>
      <c r="H9" s="59"/>
    </row>
    <row r="10" spans="1:8" x14ac:dyDescent="0.2">
      <c r="A10" s="189">
        <v>6</v>
      </c>
      <c r="B10" s="189">
        <v>1812300430</v>
      </c>
      <c r="C10" s="189" t="s">
        <v>268</v>
      </c>
      <c r="D10" s="189">
        <v>500</v>
      </c>
      <c r="E10" s="189">
        <v>500</v>
      </c>
      <c r="F10" s="249">
        <f t="shared" si="0"/>
        <v>500</v>
      </c>
      <c r="G10" s="1"/>
      <c r="H10" s="59"/>
    </row>
    <row r="11" spans="1:8" x14ac:dyDescent="0.2">
      <c r="A11" s="249">
        <v>7</v>
      </c>
      <c r="B11" s="189">
        <v>1813210430</v>
      </c>
      <c r="C11" s="243" t="s">
        <v>1000</v>
      </c>
      <c r="D11" s="189">
        <v>80</v>
      </c>
      <c r="E11" s="189">
        <v>0</v>
      </c>
      <c r="F11" s="249">
        <f t="shared" si="0"/>
        <v>0</v>
      </c>
      <c r="G11" s="1"/>
      <c r="H11" s="59"/>
    </row>
    <row r="12" spans="1:8" x14ac:dyDescent="0.2">
      <c r="A12" s="189">
        <v>8</v>
      </c>
      <c r="B12" s="189">
        <v>1813213430</v>
      </c>
      <c r="C12" s="189" t="s">
        <v>272</v>
      </c>
      <c r="D12" s="189">
        <v>27</v>
      </c>
      <c r="E12" s="189">
        <v>27</v>
      </c>
      <c r="F12" s="249">
        <f t="shared" si="0"/>
        <v>27</v>
      </c>
      <c r="G12" s="1"/>
      <c r="H12" s="59"/>
    </row>
    <row r="13" spans="1:8" ht="13.9" customHeight="1" x14ac:dyDescent="0.2">
      <c r="A13" s="249">
        <v>9</v>
      </c>
      <c r="B13" s="189">
        <v>1813214430</v>
      </c>
      <c r="C13" s="189" t="s">
        <v>273</v>
      </c>
      <c r="D13" s="189">
        <v>13</v>
      </c>
      <c r="E13" s="189">
        <v>13</v>
      </c>
      <c r="F13" s="189">
        <v>30</v>
      </c>
      <c r="H13" s="59"/>
    </row>
    <row r="14" spans="1:8" x14ac:dyDescent="0.2">
      <c r="A14" s="189">
        <v>10</v>
      </c>
      <c r="B14" s="189">
        <v>1813220430</v>
      </c>
      <c r="C14" s="189" t="s">
        <v>276</v>
      </c>
      <c r="D14" s="189">
        <v>1</v>
      </c>
      <c r="E14" s="189">
        <v>0</v>
      </c>
      <c r="F14" s="189">
        <f>E14</f>
        <v>0</v>
      </c>
      <c r="H14" s="59"/>
    </row>
    <row r="15" spans="1:8" x14ac:dyDescent="0.2">
      <c r="A15" s="249">
        <v>11</v>
      </c>
      <c r="B15" s="189">
        <v>1813240430</v>
      </c>
      <c r="C15" s="189" t="s">
        <v>279</v>
      </c>
      <c r="D15" s="189">
        <v>20</v>
      </c>
      <c r="E15" s="189">
        <v>20</v>
      </c>
      <c r="F15" s="189">
        <f t="shared" ref="F15:F21" si="1">E15</f>
        <v>20</v>
      </c>
      <c r="H15" s="59"/>
    </row>
    <row r="16" spans="1:8" x14ac:dyDescent="0.2">
      <c r="A16" s="189">
        <v>12</v>
      </c>
      <c r="B16" s="189">
        <v>1813280430</v>
      </c>
      <c r="C16" s="189" t="s">
        <v>838</v>
      </c>
      <c r="D16" s="189">
        <v>22</v>
      </c>
      <c r="E16" s="189">
        <v>22</v>
      </c>
      <c r="F16" s="189">
        <f t="shared" si="1"/>
        <v>22</v>
      </c>
      <c r="H16" s="59"/>
    </row>
    <row r="17" spans="1:16" x14ac:dyDescent="0.2">
      <c r="A17" s="249">
        <v>13</v>
      </c>
      <c r="B17" s="189">
        <v>1815500430</v>
      </c>
      <c r="C17" s="189" t="s">
        <v>284</v>
      </c>
      <c r="D17" s="189">
        <v>38</v>
      </c>
      <c r="E17" s="189">
        <v>38</v>
      </c>
      <c r="F17" s="189">
        <f t="shared" si="1"/>
        <v>38</v>
      </c>
      <c r="G17" s="1"/>
      <c r="H17" s="59"/>
    </row>
    <row r="18" spans="1:16" x14ac:dyDescent="0.2">
      <c r="A18" s="189">
        <v>14</v>
      </c>
      <c r="B18" s="189">
        <v>1817300430</v>
      </c>
      <c r="C18" s="189" t="s">
        <v>287</v>
      </c>
      <c r="D18" s="189">
        <v>10</v>
      </c>
      <c r="E18" s="189">
        <v>10</v>
      </c>
      <c r="F18" s="189">
        <f t="shared" si="1"/>
        <v>10</v>
      </c>
      <c r="G18" s="1"/>
      <c r="H18" s="59"/>
    </row>
    <row r="19" spans="1:16" x14ac:dyDescent="0.2">
      <c r="A19" s="249">
        <v>15</v>
      </c>
      <c r="B19" s="189">
        <v>1823000430</v>
      </c>
      <c r="C19" s="189" t="s">
        <v>303</v>
      </c>
      <c r="D19" s="189">
        <v>4</v>
      </c>
      <c r="E19" s="189">
        <v>4</v>
      </c>
      <c r="F19" s="189">
        <f t="shared" si="1"/>
        <v>4</v>
      </c>
      <c r="H19" s="59"/>
    </row>
    <row r="20" spans="1:16" x14ac:dyDescent="0.2">
      <c r="A20" s="189">
        <v>16</v>
      </c>
      <c r="B20" s="189">
        <v>1841000430</v>
      </c>
      <c r="C20" s="189" t="s">
        <v>227</v>
      </c>
      <c r="D20" s="189">
        <v>14</v>
      </c>
      <c r="E20" s="189">
        <v>14</v>
      </c>
      <c r="F20" s="189">
        <f t="shared" si="1"/>
        <v>14</v>
      </c>
    </row>
    <row r="21" spans="1:16" x14ac:dyDescent="0.2">
      <c r="A21" s="249">
        <v>17</v>
      </c>
      <c r="B21" s="189">
        <v>1939000430</v>
      </c>
      <c r="C21" s="189" t="s">
        <v>366</v>
      </c>
      <c r="D21" s="189">
        <v>4</v>
      </c>
      <c r="E21" s="189">
        <v>4</v>
      </c>
      <c r="F21" s="189">
        <f t="shared" si="1"/>
        <v>4</v>
      </c>
    </row>
    <row r="22" spans="1:16" ht="15" x14ac:dyDescent="0.25">
      <c r="A22" s="338"/>
      <c r="B22" s="416" t="s">
        <v>419</v>
      </c>
      <c r="C22" s="416"/>
      <c r="D22" s="370">
        <f t="shared" ref="D22:E22" si="2">SUM(D5:D21)</f>
        <v>2968</v>
      </c>
      <c r="E22" s="370">
        <f t="shared" si="2"/>
        <v>2876</v>
      </c>
      <c r="F22" s="370">
        <f>SUM(F5:F21)</f>
        <v>3293</v>
      </c>
    </row>
    <row r="23" spans="1:16" x14ac:dyDescent="0.2">
      <c r="F23" s="1"/>
    </row>
    <row r="24" spans="1:16" ht="47.25" x14ac:dyDescent="0.2">
      <c r="A24" s="123" t="s">
        <v>596</v>
      </c>
      <c r="B24" s="123" t="s">
        <v>1146</v>
      </c>
      <c r="C24" s="123" t="s">
        <v>1</v>
      </c>
      <c r="D24" s="113" t="s">
        <v>1159</v>
      </c>
      <c r="E24" s="113" t="s">
        <v>1156</v>
      </c>
      <c r="F24" s="175" t="s">
        <v>1162</v>
      </c>
    </row>
    <row r="25" spans="1:16" x14ac:dyDescent="0.2">
      <c r="A25" s="3">
        <v>1</v>
      </c>
      <c r="B25" s="3">
        <v>1743000771</v>
      </c>
      <c r="C25" s="3" t="s">
        <v>637</v>
      </c>
      <c r="D25" s="3">
        <v>2400</v>
      </c>
      <c r="E25" s="3">
        <v>2400</v>
      </c>
      <c r="F25" s="3">
        <f>E25</f>
        <v>2400</v>
      </c>
      <c r="G25" s="1"/>
      <c r="H25" s="59"/>
    </row>
    <row r="26" spans="1:16" ht="15" x14ac:dyDescent="0.25">
      <c r="A26" s="74"/>
      <c r="B26" s="417" t="s">
        <v>419</v>
      </c>
      <c r="C26" s="417"/>
      <c r="D26" s="105">
        <f>SUM(D25)</f>
        <v>2400</v>
      </c>
      <c r="E26" s="105">
        <f>SUM(E25)</f>
        <v>2400</v>
      </c>
      <c r="F26" s="105">
        <f>SUM(F25)</f>
        <v>2400</v>
      </c>
    </row>
    <row r="27" spans="1:16" ht="15" x14ac:dyDescent="0.25">
      <c r="B27" s="21"/>
      <c r="C27" s="21"/>
      <c r="F27" s="1"/>
    </row>
    <row r="28" spans="1:16" ht="15" x14ac:dyDescent="0.25">
      <c r="A28" s="74"/>
      <c r="B28" s="417" t="s">
        <v>1081</v>
      </c>
      <c r="C28" s="417"/>
      <c r="D28" s="164">
        <f>D22+D26</f>
        <v>5368</v>
      </c>
      <c r="E28" s="164">
        <f>E22+E26</f>
        <v>5276</v>
      </c>
      <c r="F28" s="164">
        <f>F22+F26</f>
        <v>5693</v>
      </c>
    </row>
    <row r="29" spans="1:16" ht="15" x14ac:dyDescent="0.25">
      <c r="B29" s="21"/>
      <c r="C29" s="21"/>
      <c r="D29" s="165"/>
      <c r="E29" s="165"/>
      <c r="F29" s="1"/>
    </row>
    <row r="30" spans="1:16" ht="15" x14ac:dyDescent="0.25">
      <c r="B30" s="13"/>
    </row>
    <row r="31" spans="1:16" ht="23.25" x14ac:dyDescent="0.2">
      <c r="B31" s="7">
        <v>720</v>
      </c>
      <c r="C31" s="436" t="s">
        <v>444</v>
      </c>
      <c r="D31" s="436"/>
      <c r="E31" s="436"/>
      <c r="F31" s="436"/>
      <c r="H31" s="4"/>
      <c r="N31" s="1"/>
      <c r="O31" s="1"/>
      <c r="P31" s="1"/>
    </row>
    <row r="32" spans="1:16" ht="18" x14ac:dyDescent="0.25">
      <c r="B32" s="14"/>
      <c r="C32" s="14"/>
      <c r="H32" s="4"/>
    </row>
    <row r="33" spans="1:15" ht="47.25" x14ac:dyDescent="0.2">
      <c r="A33" s="123" t="s">
        <v>598</v>
      </c>
      <c r="B33" s="123" t="s">
        <v>0</v>
      </c>
      <c r="C33" s="123" t="s">
        <v>1</v>
      </c>
      <c r="D33" s="113" t="s">
        <v>1159</v>
      </c>
      <c r="E33" s="113" t="s">
        <v>1156</v>
      </c>
      <c r="F33" s="175" t="s">
        <v>1162</v>
      </c>
      <c r="H33" s="4"/>
    </row>
    <row r="34" spans="1:15" x14ac:dyDescent="0.2">
      <c r="A34" s="3">
        <v>1</v>
      </c>
      <c r="B34" s="3">
        <v>1746000720</v>
      </c>
      <c r="C34" s="3" t="s">
        <v>245</v>
      </c>
      <c r="D34" s="72">
        <f>781+709+610+196</f>
        <v>2296</v>
      </c>
      <c r="E34" s="72">
        <f>D34</f>
        <v>2296</v>
      </c>
      <c r="F34" s="374">
        <v>2200</v>
      </c>
      <c r="H34" s="4"/>
    </row>
    <row r="35" spans="1:15" ht="15" x14ac:dyDescent="0.25">
      <c r="A35" s="74"/>
      <c r="B35" s="417" t="s">
        <v>419</v>
      </c>
      <c r="C35" s="417"/>
      <c r="D35" s="105">
        <f t="shared" ref="D35:E35" si="3">SUM(D34)</f>
        <v>2296</v>
      </c>
      <c r="E35" s="105">
        <f t="shared" si="3"/>
        <v>2296</v>
      </c>
      <c r="F35" s="105">
        <f>SUM(F34)</f>
        <v>2200</v>
      </c>
      <c r="H35" s="4"/>
      <c r="M35" s="1"/>
      <c r="N35" s="1"/>
      <c r="O35" s="1"/>
    </row>
    <row r="36" spans="1:15" x14ac:dyDescent="0.2">
      <c r="H36" s="4"/>
    </row>
  </sheetData>
  <mergeCells count="6">
    <mergeCell ref="C2:F2"/>
    <mergeCell ref="B22:C22"/>
    <mergeCell ref="B26:C26"/>
    <mergeCell ref="B35:C35"/>
    <mergeCell ref="B28:C28"/>
    <mergeCell ref="C31:F31"/>
  </mergeCells>
  <pageMargins left="0.70866141732283472" right="0.70866141732283472" top="0.74803149606299213" bottom="0.74803149606299213" header="0.31496062992125984" footer="0.31496062992125984"/>
  <pageSetup paperSize="9" scale="95" firstPageNumber="20" fitToHeight="0" orientation="portrait" useFirstPageNumber="1" r:id="rId1"/>
  <headerFooter>
    <oddFooter>עמוד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6"/>
  <dimension ref="A2:J38"/>
  <sheetViews>
    <sheetView rightToLeft="1" topLeftCell="B1" zoomScale="110" zoomScaleNormal="110" zoomScaleSheetLayoutView="130" workbookViewId="0">
      <selection activeCell="C5" sqref="C5"/>
    </sheetView>
  </sheetViews>
  <sheetFormatPr defaultRowHeight="14.25" x14ac:dyDescent="0.2"/>
  <cols>
    <col min="1" max="1" width="8.625" hidden="1" customWidth="1"/>
    <col min="2" max="2" width="4.125" customWidth="1"/>
    <col min="3" max="3" width="13.125" customWidth="1"/>
    <col min="4" max="4" width="25.625" customWidth="1"/>
    <col min="5" max="5" width="12.75" customWidth="1"/>
    <col min="6" max="6" width="14" customWidth="1"/>
    <col min="7" max="7" width="13.25" customWidth="1"/>
    <col min="8" max="8" width="13.75" customWidth="1"/>
    <col min="9" max="9" width="12.75" customWidth="1"/>
    <col min="11" max="11" width="22.5" bestFit="1" customWidth="1"/>
    <col min="12" max="13" width="10.125" bestFit="1" customWidth="1"/>
  </cols>
  <sheetData>
    <row r="2" spans="1:10" ht="23.25" x14ac:dyDescent="0.2">
      <c r="C2" s="132">
        <v>531</v>
      </c>
      <c r="D2" s="444" t="s">
        <v>434</v>
      </c>
      <c r="E2" s="444"/>
      <c r="F2" s="444"/>
      <c r="G2" s="444"/>
      <c r="H2" s="269"/>
      <c r="I2" s="269"/>
      <c r="J2" s="269"/>
    </row>
    <row r="4" spans="1:10" s="124" customFormat="1" ht="51.6" customHeight="1" x14ac:dyDescent="0.2">
      <c r="A4" s="119"/>
      <c r="B4" s="179" t="s">
        <v>596</v>
      </c>
      <c r="C4" s="179" t="s">
        <v>0</v>
      </c>
      <c r="D4" s="179" t="s">
        <v>1</v>
      </c>
      <c r="E4" s="113" t="s">
        <v>1159</v>
      </c>
      <c r="F4" s="113" t="s">
        <v>1156</v>
      </c>
      <c r="G4" s="175" t="s">
        <v>1162</v>
      </c>
    </row>
    <row r="5" spans="1:10" x14ac:dyDescent="0.2">
      <c r="A5" s="3"/>
      <c r="B5" s="31">
        <v>1</v>
      </c>
      <c r="C5" s="31">
        <v>1611000531</v>
      </c>
      <c r="D5" s="31" t="s">
        <v>156</v>
      </c>
      <c r="E5" s="109">
        <v>49</v>
      </c>
      <c r="F5" s="109">
        <v>49</v>
      </c>
      <c r="G5" s="109">
        <f>F5</f>
        <v>49</v>
      </c>
    </row>
    <row r="6" spans="1:10" x14ac:dyDescent="0.2">
      <c r="A6" s="3"/>
      <c r="B6" s="31">
        <v>2</v>
      </c>
      <c r="C6" s="31">
        <v>1612000531</v>
      </c>
      <c r="D6" s="31" t="s">
        <v>162</v>
      </c>
      <c r="E6" s="109">
        <v>15</v>
      </c>
      <c r="F6" s="109">
        <v>15</v>
      </c>
      <c r="G6" s="109">
        <f t="shared" ref="G6:G23" si="0">F6</f>
        <v>15</v>
      </c>
    </row>
    <row r="7" spans="1:10" x14ac:dyDescent="0.2">
      <c r="A7" s="3"/>
      <c r="B7" s="31">
        <v>3</v>
      </c>
      <c r="C7" s="180">
        <v>1613000531</v>
      </c>
      <c r="D7" s="180" t="s">
        <v>169</v>
      </c>
      <c r="E7" s="109">
        <v>18</v>
      </c>
      <c r="F7" s="109">
        <v>18</v>
      </c>
      <c r="G7" s="109">
        <f t="shared" si="0"/>
        <v>18</v>
      </c>
    </row>
    <row r="8" spans="1:10" x14ac:dyDescent="0.2">
      <c r="A8" s="3"/>
      <c r="B8" s="31">
        <v>4</v>
      </c>
      <c r="C8" s="31">
        <v>1617000531</v>
      </c>
      <c r="D8" s="31" t="s">
        <v>180</v>
      </c>
      <c r="E8" s="109">
        <v>15</v>
      </c>
      <c r="F8" s="109">
        <v>15</v>
      </c>
      <c r="G8" s="109">
        <f t="shared" si="0"/>
        <v>15</v>
      </c>
    </row>
    <row r="9" spans="1:10" x14ac:dyDescent="0.2">
      <c r="A9" s="3"/>
      <c r="B9" s="31">
        <v>5</v>
      </c>
      <c r="C9" s="180">
        <v>1621000531</v>
      </c>
      <c r="D9" s="180" t="s">
        <v>187</v>
      </c>
      <c r="E9" s="109">
        <v>15</v>
      </c>
      <c r="F9" s="109">
        <v>15</v>
      </c>
      <c r="G9" s="109">
        <f t="shared" si="0"/>
        <v>15</v>
      </c>
    </row>
    <row r="10" spans="1:10" x14ac:dyDescent="0.2">
      <c r="A10" s="3"/>
      <c r="B10" s="31">
        <v>6</v>
      </c>
      <c r="C10" s="31">
        <v>1711000531</v>
      </c>
      <c r="D10" s="31" t="s">
        <v>201</v>
      </c>
      <c r="E10" s="109">
        <v>195</v>
      </c>
      <c r="F10" s="109">
        <v>195</v>
      </c>
      <c r="G10" s="109">
        <f t="shared" si="0"/>
        <v>195</v>
      </c>
    </row>
    <row r="11" spans="1:10" x14ac:dyDescent="0.2">
      <c r="A11" s="3"/>
      <c r="B11" s="31">
        <v>7</v>
      </c>
      <c r="C11" s="31">
        <v>1712200531</v>
      </c>
      <c r="D11" s="31" t="s">
        <v>207</v>
      </c>
      <c r="E11" s="109">
        <v>225</v>
      </c>
      <c r="F11" s="109">
        <v>225</v>
      </c>
      <c r="G11" s="109">
        <f t="shared" si="0"/>
        <v>225</v>
      </c>
    </row>
    <row r="12" spans="1:10" x14ac:dyDescent="0.2">
      <c r="A12" s="3"/>
      <c r="B12" s="31">
        <v>8</v>
      </c>
      <c r="C12" s="31">
        <v>1712300531</v>
      </c>
      <c r="D12" s="31" t="s">
        <v>213</v>
      </c>
      <c r="E12" s="109">
        <v>620</v>
      </c>
      <c r="F12" s="109">
        <v>620</v>
      </c>
      <c r="G12" s="109">
        <f t="shared" si="0"/>
        <v>620</v>
      </c>
    </row>
    <row r="13" spans="1:10" x14ac:dyDescent="0.2">
      <c r="A13" s="3"/>
      <c r="B13" s="31">
        <v>9</v>
      </c>
      <c r="C13" s="180">
        <v>1721000531</v>
      </c>
      <c r="D13" s="180" t="s">
        <v>218</v>
      </c>
      <c r="E13" s="109">
        <v>15</v>
      </c>
      <c r="F13" s="109">
        <v>15</v>
      </c>
      <c r="G13" s="109">
        <f t="shared" si="0"/>
        <v>15</v>
      </c>
    </row>
    <row r="14" spans="1:10" x14ac:dyDescent="0.2">
      <c r="A14" s="3"/>
      <c r="B14" s="31">
        <v>10</v>
      </c>
      <c r="C14" s="31">
        <v>1733000531</v>
      </c>
      <c r="D14" s="31" t="s">
        <v>235</v>
      </c>
      <c r="E14" s="109">
        <v>16</v>
      </c>
      <c r="F14" s="109">
        <v>23</v>
      </c>
      <c r="G14" s="109">
        <f t="shared" si="0"/>
        <v>23</v>
      </c>
    </row>
    <row r="15" spans="1:10" x14ac:dyDescent="0.2">
      <c r="A15" s="3"/>
      <c r="B15" s="31">
        <v>11</v>
      </c>
      <c r="C15" s="31">
        <v>1746000531</v>
      </c>
      <c r="D15" s="31" t="s">
        <v>241</v>
      </c>
      <c r="E15" s="109">
        <v>62</v>
      </c>
      <c r="F15" s="109">
        <v>62</v>
      </c>
      <c r="G15" s="109">
        <f t="shared" si="0"/>
        <v>62</v>
      </c>
    </row>
    <row r="16" spans="1:10" x14ac:dyDescent="0.2">
      <c r="A16" s="3"/>
      <c r="B16" s="31">
        <v>12</v>
      </c>
      <c r="C16" s="31">
        <v>1811000531</v>
      </c>
      <c r="D16" s="31" t="s">
        <v>263</v>
      </c>
      <c r="E16" s="109">
        <v>35</v>
      </c>
      <c r="F16" s="109">
        <v>35</v>
      </c>
      <c r="G16" s="109">
        <f t="shared" si="0"/>
        <v>35</v>
      </c>
    </row>
    <row r="17" spans="1:10" x14ac:dyDescent="0.2">
      <c r="A17" s="3"/>
      <c r="B17" s="31">
        <v>13</v>
      </c>
      <c r="C17" s="31">
        <v>1817910531</v>
      </c>
      <c r="D17" s="31" t="s">
        <v>263</v>
      </c>
      <c r="E17" s="109">
        <v>15</v>
      </c>
      <c r="F17" s="109">
        <v>15</v>
      </c>
      <c r="G17" s="109">
        <f t="shared" si="0"/>
        <v>15</v>
      </c>
    </row>
    <row r="18" spans="1:10" x14ac:dyDescent="0.2">
      <c r="A18" s="3"/>
      <c r="B18" s="31">
        <v>14</v>
      </c>
      <c r="C18" s="31">
        <v>1821000531</v>
      </c>
      <c r="D18" s="31" t="s">
        <v>293</v>
      </c>
      <c r="E18" s="109">
        <v>0</v>
      </c>
      <c r="F18" s="109">
        <v>0</v>
      </c>
      <c r="G18" s="109">
        <f t="shared" si="0"/>
        <v>0</v>
      </c>
    </row>
    <row r="19" spans="1:10" x14ac:dyDescent="0.2">
      <c r="A19" s="3"/>
      <c r="B19" s="31">
        <v>15</v>
      </c>
      <c r="C19" s="31">
        <v>1822200531</v>
      </c>
      <c r="D19" s="31" t="s">
        <v>1001</v>
      </c>
      <c r="E19" s="109">
        <v>0</v>
      </c>
      <c r="F19" s="109">
        <v>0</v>
      </c>
      <c r="G19" s="109">
        <f t="shared" si="0"/>
        <v>0</v>
      </c>
    </row>
    <row r="20" spans="1:10" x14ac:dyDescent="0.2">
      <c r="A20" s="3"/>
      <c r="B20" s="31">
        <v>16</v>
      </c>
      <c r="C20" s="180">
        <v>1841000531</v>
      </c>
      <c r="D20" s="180" t="s">
        <v>320</v>
      </c>
      <c r="E20" s="109">
        <v>0</v>
      </c>
      <c r="F20" s="109">
        <v>0</v>
      </c>
      <c r="G20" s="109">
        <f t="shared" si="0"/>
        <v>0</v>
      </c>
    </row>
    <row r="21" spans="1:10" x14ac:dyDescent="0.2">
      <c r="A21" s="3"/>
      <c r="B21" s="31">
        <v>17</v>
      </c>
      <c r="C21" s="31">
        <v>1913000531</v>
      </c>
      <c r="D21" s="31" t="s">
        <v>361</v>
      </c>
      <c r="E21" s="109">
        <v>22</v>
      </c>
      <c r="F21" s="109">
        <v>22</v>
      </c>
      <c r="G21" s="109">
        <f t="shared" si="0"/>
        <v>22</v>
      </c>
    </row>
    <row r="22" spans="1:10" x14ac:dyDescent="0.2">
      <c r="A22" s="3"/>
      <c r="B22" s="31">
        <v>18</v>
      </c>
      <c r="C22" s="31">
        <v>1943000531</v>
      </c>
      <c r="D22" s="31" t="s">
        <v>369</v>
      </c>
      <c r="E22" s="109">
        <v>3</v>
      </c>
      <c r="F22" s="109">
        <v>3</v>
      </c>
      <c r="G22" s="109">
        <f t="shared" si="0"/>
        <v>3</v>
      </c>
    </row>
    <row r="23" spans="1:10" x14ac:dyDescent="0.2">
      <c r="A23" s="3"/>
      <c r="B23" s="31">
        <v>19</v>
      </c>
      <c r="C23" s="31">
        <v>1860000531</v>
      </c>
      <c r="D23" s="204" t="s">
        <v>1092</v>
      </c>
      <c r="E23" s="109">
        <v>15</v>
      </c>
      <c r="F23" s="109">
        <v>15</v>
      </c>
      <c r="G23" s="109">
        <f t="shared" si="0"/>
        <v>15</v>
      </c>
    </row>
    <row r="24" spans="1:10" ht="15" x14ac:dyDescent="0.25">
      <c r="A24" s="3"/>
      <c r="B24" s="181"/>
      <c r="C24" s="441" t="s">
        <v>419</v>
      </c>
      <c r="D24" s="442"/>
      <c r="E24" s="106">
        <f>SUM(E5:E23)</f>
        <v>1335</v>
      </c>
      <c r="F24" s="106">
        <f>SUM(F5:F23)</f>
        <v>1342</v>
      </c>
      <c r="G24" s="106">
        <f>SUM(G5:G23)</f>
        <v>1342</v>
      </c>
    </row>
    <row r="25" spans="1:10" ht="15" x14ac:dyDescent="0.25">
      <c r="C25" s="9"/>
      <c r="D25" s="9"/>
      <c r="E25" s="10"/>
      <c r="F25" s="10"/>
      <c r="G25" s="10"/>
    </row>
    <row r="26" spans="1:10" ht="23.25" x14ac:dyDescent="0.2">
      <c r="C26" s="132">
        <v>530</v>
      </c>
      <c r="D26" s="443" t="s">
        <v>958</v>
      </c>
      <c r="E26" s="443"/>
      <c r="F26" s="443"/>
      <c r="G26" s="443"/>
      <c r="H26" s="269"/>
      <c r="I26" s="269"/>
      <c r="J26" s="269"/>
    </row>
    <row r="28" spans="1:10" s="124" customFormat="1" ht="31.5" x14ac:dyDescent="0.2">
      <c r="B28" s="179" t="s">
        <v>599</v>
      </c>
      <c r="C28" s="179" t="s">
        <v>0</v>
      </c>
      <c r="D28" s="179" t="s">
        <v>1</v>
      </c>
      <c r="E28" s="113" t="s">
        <v>1159</v>
      </c>
      <c r="F28" s="113" t="s">
        <v>1156</v>
      </c>
      <c r="G28" s="175" t="s">
        <v>1162</v>
      </c>
    </row>
    <row r="29" spans="1:10" x14ac:dyDescent="0.2">
      <c r="B29" s="31">
        <v>1</v>
      </c>
      <c r="C29" s="31">
        <v>1611000530</v>
      </c>
      <c r="D29" s="182" t="s">
        <v>959</v>
      </c>
      <c r="E29" s="301">
        <v>0</v>
      </c>
      <c r="F29" s="183">
        <v>0</v>
      </c>
      <c r="G29" s="183">
        <f>F29</f>
        <v>0</v>
      </c>
      <c r="H29" s="1"/>
    </row>
    <row r="30" spans="1:10" s="117" customFormat="1" ht="42.75" x14ac:dyDescent="0.2">
      <c r="B30" s="163">
        <v>2</v>
      </c>
      <c r="C30" s="154">
        <v>1712210530</v>
      </c>
      <c r="D30" s="182" t="s">
        <v>901</v>
      </c>
      <c r="E30" s="301">
        <v>304</v>
      </c>
      <c r="F30" s="183">
        <v>304</v>
      </c>
      <c r="G30" s="183">
        <f t="shared" ref="G30:G33" si="1">F30</f>
        <v>304</v>
      </c>
      <c r="H30" s="127"/>
    </row>
    <row r="31" spans="1:10" x14ac:dyDescent="0.2">
      <c r="B31" s="31">
        <v>3</v>
      </c>
      <c r="C31" s="31">
        <v>1712211530</v>
      </c>
      <c r="D31" s="182" t="s">
        <v>1055</v>
      </c>
      <c r="E31" s="301">
        <v>5</v>
      </c>
      <c r="F31" s="183">
        <v>5</v>
      </c>
      <c r="G31" s="183">
        <f t="shared" si="1"/>
        <v>5</v>
      </c>
      <c r="H31" s="1"/>
    </row>
    <row r="32" spans="1:10" x14ac:dyDescent="0.2">
      <c r="B32" s="31">
        <v>4</v>
      </c>
      <c r="C32" s="31">
        <v>1712220530</v>
      </c>
      <c r="D32" s="154" t="s">
        <v>435</v>
      </c>
      <c r="E32" s="301">
        <v>52</v>
      </c>
      <c r="F32" s="302">
        <v>52</v>
      </c>
      <c r="G32" s="183">
        <f t="shared" si="1"/>
        <v>52</v>
      </c>
    </row>
    <row r="33" spans="2:8" x14ac:dyDescent="0.2">
      <c r="B33" s="31">
        <v>5</v>
      </c>
      <c r="C33" s="31">
        <v>1712230530</v>
      </c>
      <c r="D33" s="154" t="s">
        <v>436</v>
      </c>
      <c r="E33" s="301">
        <v>23</v>
      </c>
      <c r="F33" s="302">
        <v>23</v>
      </c>
      <c r="G33" s="183">
        <f t="shared" si="1"/>
        <v>23</v>
      </c>
    </row>
    <row r="34" spans="2:8" ht="15" x14ac:dyDescent="0.25">
      <c r="B34" s="181"/>
      <c r="C34" s="440" t="s">
        <v>419</v>
      </c>
      <c r="D34" s="440"/>
      <c r="E34" s="107">
        <f>SUM(E29:E33)</f>
        <v>384</v>
      </c>
      <c r="F34" s="107">
        <f>SUM(F29:F33)</f>
        <v>384</v>
      </c>
      <c r="G34" s="107">
        <f>SUM(G29:G33)</f>
        <v>384</v>
      </c>
      <c r="H34" s="1"/>
    </row>
    <row r="38" spans="2:8" ht="18" x14ac:dyDescent="0.25">
      <c r="E38" s="29"/>
    </row>
  </sheetData>
  <mergeCells count="4">
    <mergeCell ref="C34:D34"/>
    <mergeCell ref="C24:D24"/>
    <mergeCell ref="D26:G26"/>
    <mergeCell ref="D2:G2"/>
  </mergeCells>
  <pageMargins left="0.31496062992125984" right="0.31496062992125984" top="0.74803149606299213" bottom="0.74803149606299213" header="0.31496062992125984" footer="0.31496062992125984"/>
  <pageSetup paperSize="9" scale="92" firstPageNumber="21" orientation="portrait" useFirstPageNumber="1" r:id="rId1"/>
  <headerFooter>
    <oddFooter>עמוד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7">
    <pageSetUpPr fitToPage="1"/>
  </sheetPr>
  <dimension ref="A2:N53"/>
  <sheetViews>
    <sheetView rightToLeft="1" topLeftCell="C40" zoomScale="110" zoomScaleNormal="110" workbookViewId="0">
      <selection activeCell="H13" sqref="H13"/>
    </sheetView>
  </sheetViews>
  <sheetFormatPr defaultRowHeight="14.25" x14ac:dyDescent="0.2"/>
  <cols>
    <col min="1" max="2" width="8.625" hidden="1" customWidth="1"/>
    <col min="3" max="3" width="4.625" customWidth="1"/>
    <col min="4" max="4" width="16" customWidth="1"/>
    <col min="5" max="5" width="23.625" customWidth="1"/>
    <col min="6" max="6" width="12.875" customWidth="1"/>
    <col min="7" max="7" width="12.75" customWidth="1"/>
    <col min="9" max="9" width="9.875" bestFit="1" customWidth="1"/>
  </cols>
  <sheetData>
    <row r="2" spans="1:14" ht="18" x14ac:dyDescent="0.25">
      <c r="D2" s="132">
        <v>532</v>
      </c>
      <c r="E2" s="448" t="s">
        <v>437</v>
      </c>
      <c r="F2" s="448"/>
      <c r="G2" s="448"/>
      <c r="H2" s="448"/>
    </row>
    <row r="4" spans="1:14" s="124" customFormat="1" ht="47.25" x14ac:dyDescent="0.2">
      <c r="A4" s="119"/>
      <c r="B4" s="119"/>
      <c r="C4" s="123" t="s">
        <v>596</v>
      </c>
      <c r="D4" s="123" t="s">
        <v>0</v>
      </c>
      <c r="E4" s="123" t="s">
        <v>1</v>
      </c>
      <c r="F4" s="113" t="s">
        <v>1159</v>
      </c>
      <c r="G4" s="113" t="s">
        <v>1156</v>
      </c>
      <c r="H4" s="175" t="s">
        <v>1162</v>
      </c>
    </row>
    <row r="5" spans="1:14" x14ac:dyDescent="0.2">
      <c r="A5" s="3"/>
      <c r="B5" s="3"/>
      <c r="C5" s="3">
        <v>1</v>
      </c>
      <c r="D5" s="3">
        <v>1611000532</v>
      </c>
      <c r="E5" s="3" t="s">
        <v>157</v>
      </c>
      <c r="F5" s="72">
        <v>55</v>
      </c>
      <c r="G5" s="72">
        <v>20</v>
      </c>
      <c r="H5" s="72">
        <f>G5</f>
        <v>20</v>
      </c>
      <c r="I5" s="1"/>
      <c r="L5" s="1"/>
      <c r="N5" s="59"/>
    </row>
    <row r="6" spans="1:14" x14ac:dyDescent="0.2">
      <c r="A6" s="3"/>
      <c r="B6" s="3"/>
      <c r="C6" s="3">
        <v>2</v>
      </c>
      <c r="D6" s="3">
        <v>1612000532</v>
      </c>
      <c r="E6" s="3" t="s">
        <v>163</v>
      </c>
      <c r="F6" s="72">
        <v>2</v>
      </c>
      <c r="G6" s="72">
        <v>2</v>
      </c>
      <c r="H6" s="72">
        <f t="shared" ref="H6:H12" si="0">G6</f>
        <v>2</v>
      </c>
      <c r="I6" s="1"/>
      <c r="L6" s="1"/>
      <c r="M6" s="1"/>
      <c r="N6" s="59"/>
    </row>
    <row r="7" spans="1:14" x14ac:dyDescent="0.2">
      <c r="A7" s="3"/>
      <c r="B7" s="3"/>
      <c r="C7" s="3">
        <v>3</v>
      </c>
      <c r="D7" s="3">
        <v>1613000532</v>
      </c>
      <c r="E7" s="3" t="s">
        <v>170</v>
      </c>
      <c r="F7" s="72">
        <v>5</v>
      </c>
      <c r="G7" s="72">
        <v>2</v>
      </c>
      <c r="H7" s="72">
        <f t="shared" si="0"/>
        <v>2</v>
      </c>
      <c r="I7" s="1"/>
      <c r="K7" s="1"/>
      <c r="L7" s="1"/>
      <c r="M7" s="1"/>
      <c r="N7" s="59"/>
    </row>
    <row r="8" spans="1:14" x14ac:dyDescent="0.2">
      <c r="A8" s="3"/>
      <c r="B8" s="3"/>
      <c r="C8" s="3">
        <v>4</v>
      </c>
      <c r="D8" s="3">
        <v>1617000532</v>
      </c>
      <c r="E8" s="3" t="s">
        <v>181</v>
      </c>
      <c r="F8" s="72">
        <v>1</v>
      </c>
      <c r="G8" s="72">
        <v>1</v>
      </c>
      <c r="H8" s="72">
        <f t="shared" si="0"/>
        <v>1</v>
      </c>
      <c r="M8" s="1"/>
      <c r="N8" s="59"/>
    </row>
    <row r="9" spans="1:14" x14ac:dyDescent="0.2">
      <c r="A9" s="3"/>
      <c r="B9" s="3"/>
      <c r="C9" s="3">
        <v>5</v>
      </c>
      <c r="D9" s="3">
        <v>1621000532</v>
      </c>
      <c r="E9" s="3" t="s">
        <v>188</v>
      </c>
      <c r="F9" s="72">
        <v>6</v>
      </c>
      <c r="G9" s="72">
        <v>3</v>
      </c>
      <c r="H9" s="72">
        <f t="shared" si="0"/>
        <v>3</v>
      </c>
      <c r="L9" s="1"/>
      <c r="M9" s="1"/>
      <c r="N9" s="59"/>
    </row>
    <row r="10" spans="1:14" x14ac:dyDescent="0.2">
      <c r="A10" s="3"/>
      <c r="B10" s="3"/>
      <c r="C10" s="3">
        <v>6</v>
      </c>
      <c r="D10" s="3">
        <v>1711000532</v>
      </c>
      <c r="E10" s="3" t="s">
        <v>202</v>
      </c>
      <c r="F10" s="72">
        <v>70</v>
      </c>
      <c r="G10" s="72">
        <v>115</v>
      </c>
      <c r="H10" s="72">
        <f t="shared" si="0"/>
        <v>115</v>
      </c>
      <c r="I10" s="1"/>
      <c r="J10" s="1"/>
      <c r="L10" s="1"/>
      <c r="M10" s="1"/>
      <c r="N10" s="59"/>
    </row>
    <row r="11" spans="1:14" x14ac:dyDescent="0.2">
      <c r="A11" s="3"/>
      <c r="B11" s="3"/>
      <c r="C11" s="3">
        <v>7</v>
      </c>
      <c r="D11" s="3">
        <v>1711200532</v>
      </c>
      <c r="E11" s="3" t="s">
        <v>206</v>
      </c>
      <c r="F11" s="72">
        <v>0</v>
      </c>
      <c r="G11" s="72">
        <v>0</v>
      </c>
      <c r="H11" s="72">
        <f t="shared" si="0"/>
        <v>0</v>
      </c>
      <c r="J11" s="1"/>
      <c r="L11" s="1"/>
      <c r="M11" s="1"/>
      <c r="N11" s="59"/>
    </row>
    <row r="12" spans="1:14" x14ac:dyDescent="0.2">
      <c r="A12" s="3"/>
      <c r="B12" s="3"/>
      <c r="C12" s="3">
        <v>8</v>
      </c>
      <c r="D12" s="3">
        <v>1712200532</v>
      </c>
      <c r="E12" s="3" t="s">
        <v>208</v>
      </c>
      <c r="F12" s="72">
        <v>271</v>
      </c>
      <c r="G12" s="72">
        <v>300</v>
      </c>
      <c r="H12" s="72">
        <f t="shared" si="0"/>
        <v>300</v>
      </c>
      <c r="I12" s="1"/>
      <c r="L12" s="1"/>
      <c r="N12" s="59"/>
    </row>
    <row r="13" spans="1:14" x14ac:dyDescent="0.2">
      <c r="A13" s="3"/>
      <c r="B13" s="3"/>
      <c r="C13" s="3">
        <v>9</v>
      </c>
      <c r="D13" s="3">
        <v>1712300532</v>
      </c>
      <c r="E13" s="3" t="s">
        <v>1175</v>
      </c>
      <c r="F13" s="72">
        <v>461</v>
      </c>
      <c r="G13" s="72">
        <v>850</v>
      </c>
      <c r="H13" s="255">
        <f>G13+47</f>
        <v>897</v>
      </c>
      <c r="I13" s="1"/>
      <c r="K13" s="1"/>
      <c r="L13" s="1"/>
      <c r="M13" s="1"/>
      <c r="N13" s="59"/>
    </row>
    <row r="14" spans="1:14" x14ac:dyDescent="0.2">
      <c r="A14" s="3"/>
      <c r="B14" s="3"/>
      <c r="C14" s="3">
        <v>10</v>
      </c>
      <c r="D14" s="3">
        <v>1712400532</v>
      </c>
      <c r="E14" s="3" t="s">
        <v>215</v>
      </c>
      <c r="F14" s="72">
        <v>0</v>
      </c>
      <c r="G14" s="72">
        <v>0</v>
      </c>
      <c r="H14" s="72">
        <f>G14</f>
        <v>0</v>
      </c>
      <c r="I14" s="1"/>
      <c r="J14" s="1"/>
      <c r="L14" s="1"/>
      <c r="M14" s="1"/>
      <c r="N14" s="59"/>
    </row>
    <row r="15" spans="1:14" x14ac:dyDescent="0.2">
      <c r="A15" s="3"/>
      <c r="B15" s="3"/>
      <c r="C15" s="3">
        <v>11</v>
      </c>
      <c r="D15" s="3">
        <v>1715300532</v>
      </c>
      <c r="E15" s="3" t="s">
        <v>1034</v>
      </c>
      <c r="F15" s="72">
        <v>0</v>
      </c>
      <c r="G15" s="72">
        <v>0</v>
      </c>
      <c r="H15" s="72">
        <f t="shared" ref="H15:H27" si="1">G15</f>
        <v>0</v>
      </c>
      <c r="I15" s="1"/>
      <c r="K15" s="1"/>
      <c r="M15" s="1"/>
      <c r="N15" s="59"/>
    </row>
    <row r="16" spans="1:14" x14ac:dyDescent="0.2">
      <c r="A16" s="3"/>
      <c r="B16" s="3"/>
      <c r="C16" s="3">
        <v>12</v>
      </c>
      <c r="D16" s="3">
        <v>1721000532</v>
      </c>
      <c r="E16" s="3" t="s">
        <v>219</v>
      </c>
      <c r="F16" s="72">
        <v>5</v>
      </c>
      <c r="G16" s="72">
        <v>1</v>
      </c>
      <c r="H16" s="72">
        <f t="shared" si="1"/>
        <v>1</v>
      </c>
      <c r="I16" s="1"/>
      <c r="J16" s="1"/>
      <c r="L16" s="1"/>
      <c r="M16" s="1"/>
      <c r="N16" s="59"/>
    </row>
    <row r="17" spans="1:14" x14ac:dyDescent="0.2">
      <c r="A17" s="3"/>
      <c r="B17" s="3"/>
      <c r="C17" s="3">
        <v>13</v>
      </c>
      <c r="D17" s="3">
        <v>1731000532</v>
      </c>
      <c r="E17" s="3" t="s">
        <v>230</v>
      </c>
      <c r="F17" s="72">
        <v>1</v>
      </c>
      <c r="G17" s="72">
        <v>1</v>
      </c>
      <c r="H17" s="72">
        <f t="shared" si="1"/>
        <v>1</v>
      </c>
      <c r="I17" s="1"/>
      <c r="J17" s="1"/>
      <c r="L17" s="1"/>
      <c r="M17" s="1"/>
      <c r="N17" s="59"/>
    </row>
    <row r="18" spans="1:14" x14ac:dyDescent="0.2">
      <c r="A18" s="3"/>
      <c r="B18" s="3"/>
      <c r="C18" s="3">
        <v>14</v>
      </c>
      <c r="D18" s="3">
        <v>1733000532</v>
      </c>
      <c r="E18" s="3" t="s">
        <v>230</v>
      </c>
      <c r="F18" s="72">
        <v>1</v>
      </c>
      <c r="G18" s="72">
        <v>1</v>
      </c>
      <c r="H18" s="72">
        <f t="shared" si="1"/>
        <v>1</v>
      </c>
      <c r="I18" s="1"/>
      <c r="J18" s="1"/>
      <c r="L18" s="1"/>
      <c r="M18" s="1"/>
      <c r="N18" s="59"/>
    </row>
    <row r="19" spans="1:14" x14ac:dyDescent="0.2">
      <c r="A19" s="3"/>
      <c r="B19" s="3"/>
      <c r="C19" s="3">
        <v>15</v>
      </c>
      <c r="D19" s="3">
        <v>1741000532</v>
      </c>
      <c r="E19" s="3" t="s">
        <v>237</v>
      </c>
      <c r="F19" s="72">
        <v>0</v>
      </c>
      <c r="G19" s="72">
        <v>0</v>
      </c>
      <c r="H19" s="72">
        <f t="shared" si="1"/>
        <v>0</v>
      </c>
      <c r="I19" s="1"/>
      <c r="K19" s="1"/>
      <c r="L19" s="1"/>
      <c r="M19" s="1"/>
      <c r="N19" s="59"/>
    </row>
    <row r="20" spans="1:14" x14ac:dyDescent="0.2">
      <c r="A20" s="3"/>
      <c r="B20" s="3"/>
      <c r="C20" s="3">
        <v>16</v>
      </c>
      <c r="D20" s="3">
        <v>1746000532</v>
      </c>
      <c r="E20" s="3" t="s">
        <v>242</v>
      </c>
      <c r="F20" s="72">
        <v>29</v>
      </c>
      <c r="G20" s="72">
        <v>29</v>
      </c>
      <c r="H20" s="72">
        <f t="shared" si="1"/>
        <v>29</v>
      </c>
      <c r="I20" s="1"/>
      <c r="J20" s="1"/>
      <c r="L20" s="1"/>
      <c r="M20" s="1"/>
      <c r="N20" s="59"/>
    </row>
    <row r="21" spans="1:14" x14ac:dyDescent="0.2">
      <c r="A21" s="3"/>
      <c r="B21" s="3"/>
      <c r="C21" s="3">
        <v>17</v>
      </c>
      <c r="D21" s="3">
        <v>1811000532</v>
      </c>
      <c r="E21" s="3" t="s">
        <v>264</v>
      </c>
      <c r="F21" s="72">
        <v>3</v>
      </c>
      <c r="G21" s="72">
        <v>3</v>
      </c>
      <c r="H21" s="72">
        <f t="shared" si="1"/>
        <v>3</v>
      </c>
      <c r="I21" s="1"/>
      <c r="K21" s="1"/>
      <c r="L21" s="1"/>
      <c r="N21" s="59"/>
    </row>
    <row r="22" spans="1:14" x14ac:dyDescent="0.2">
      <c r="A22" s="3"/>
      <c r="B22" s="3"/>
      <c r="C22" s="3">
        <v>18</v>
      </c>
      <c r="D22" s="3">
        <v>1817910532</v>
      </c>
      <c r="E22" s="3" t="s">
        <v>264</v>
      </c>
      <c r="F22" s="72">
        <v>4</v>
      </c>
      <c r="G22" s="72">
        <v>4</v>
      </c>
      <c r="H22" s="72">
        <f t="shared" si="1"/>
        <v>4</v>
      </c>
      <c r="I22" s="1"/>
      <c r="K22" s="1"/>
      <c r="N22" s="59"/>
    </row>
    <row r="23" spans="1:14" x14ac:dyDescent="0.2">
      <c r="A23" s="3"/>
      <c r="B23" s="3"/>
      <c r="C23" s="3">
        <v>19</v>
      </c>
      <c r="D23" s="3">
        <v>1821000532</v>
      </c>
      <c r="E23" s="3" t="s">
        <v>294</v>
      </c>
      <c r="F23" s="72">
        <v>0</v>
      </c>
      <c r="G23" s="72">
        <v>0</v>
      </c>
      <c r="H23" s="72">
        <f t="shared" si="1"/>
        <v>0</v>
      </c>
      <c r="I23" s="1"/>
      <c r="J23" s="1"/>
      <c r="M23" s="1"/>
      <c r="N23" s="59"/>
    </row>
    <row r="24" spans="1:14" x14ac:dyDescent="0.2">
      <c r="A24" s="3"/>
      <c r="B24" s="3"/>
      <c r="C24" s="3">
        <v>20</v>
      </c>
      <c r="D24" s="3">
        <v>1822200532</v>
      </c>
      <c r="E24" s="3" t="s">
        <v>294</v>
      </c>
      <c r="F24" s="72">
        <v>2</v>
      </c>
      <c r="G24" s="72">
        <v>2</v>
      </c>
      <c r="H24" s="72">
        <f t="shared" si="1"/>
        <v>2</v>
      </c>
      <c r="K24" s="1"/>
      <c r="N24" s="59"/>
    </row>
    <row r="25" spans="1:14" x14ac:dyDescent="0.2">
      <c r="A25" s="3"/>
      <c r="B25" s="3"/>
      <c r="C25" s="3">
        <v>21</v>
      </c>
      <c r="D25" s="3">
        <v>1841000532</v>
      </c>
      <c r="E25" s="3" t="s">
        <v>321</v>
      </c>
      <c r="F25" s="72">
        <v>0</v>
      </c>
      <c r="G25" s="72">
        <v>0</v>
      </c>
      <c r="H25" s="72">
        <f>G25</f>
        <v>0</v>
      </c>
      <c r="J25" s="1"/>
      <c r="L25" s="1"/>
      <c r="N25" s="59"/>
    </row>
    <row r="26" spans="1:14" x14ac:dyDescent="0.2">
      <c r="A26" s="3"/>
      <c r="B26" s="3"/>
      <c r="C26" s="3">
        <v>22</v>
      </c>
      <c r="D26" s="3">
        <v>1913000532</v>
      </c>
      <c r="E26" s="3" t="s">
        <v>237</v>
      </c>
      <c r="F26" s="72">
        <v>20</v>
      </c>
      <c r="G26" s="72">
        <v>20</v>
      </c>
      <c r="H26" s="72">
        <f t="shared" si="1"/>
        <v>20</v>
      </c>
      <c r="I26" s="1"/>
      <c r="K26" s="1"/>
      <c r="L26" s="1"/>
      <c r="M26" s="1"/>
      <c r="N26" s="59"/>
    </row>
    <row r="27" spans="1:14" x14ac:dyDescent="0.2">
      <c r="A27" s="3"/>
      <c r="B27" s="3"/>
      <c r="C27" s="3">
        <v>23</v>
      </c>
      <c r="D27" s="3">
        <v>1943000532</v>
      </c>
      <c r="E27" s="3" t="s">
        <v>370</v>
      </c>
      <c r="F27" s="72">
        <v>6</v>
      </c>
      <c r="G27" s="72">
        <v>6</v>
      </c>
      <c r="H27" s="72">
        <f t="shared" si="1"/>
        <v>6</v>
      </c>
      <c r="I27" s="1"/>
      <c r="J27" s="1"/>
      <c r="L27" s="1"/>
      <c r="N27" s="59"/>
    </row>
    <row r="28" spans="1:14" ht="15" x14ac:dyDescent="0.25">
      <c r="A28" s="3"/>
      <c r="B28" s="3"/>
      <c r="C28" s="74"/>
      <c r="D28" s="417" t="s">
        <v>419</v>
      </c>
      <c r="E28" s="417"/>
      <c r="F28" s="106">
        <f t="shared" ref="F28:G28" si="2">SUM(F5:F27)</f>
        <v>942</v>
      </c>
      <c r="G28" s="106">
        <f t="shared" si="2"/>
        <v>1360</v>
      </c>
      <c r="H28" s="106">
        <f>SUM(H5:H27)</f>
        <v>1407</v>
      </c>
    </row>
    <row r="29" spans="1:14" ht="15" x14ac:dyDescent="0.25">
      <c r="D29" s="21"/>
      <c r="E29" s="21"/>
    </row>
    <row r="30" spans="1:14" ht="18" x14ac:dyDescent="0.25">
      <c r="D30" s="132">
        <v>533</v>
      </c>
      <c r="E30" s="445" t="s">
        <v>995</v>
      </c>
      <c r="F30" s="445"/>
      <c r="G30" s="445"/>
    </row>
    <row r="31" spans="1:14" ht="18" x14ac:dyDescent="0.25">
      <c r="D31" s="5"/>
      <c r="E31" s="5"/>
    </row>
    <row r="32" spans="1:14" s="124" customFormat="1" ht="47.25" x14ac:dyDescent="0.2">
      <c r="C32" s="179" t="s">
        <v>599</v>
      </c>
      <c r="D32" s="179" t="s">
        <v>0</v>
      </c>
      <c r="E32" s="179" t="s">
        <v>1</v>
      </c>
      <c r="F32" s="113" t="s">
        <v>1159</v>
      </c>
      <c r="G32" s="113" t="s">
        <v>1156</v>
      </c>
      <c r="H32" s="175" t="s">
        <v>1162</v>
      </c>
    </row>
    <row r="33" spans="3:14" x14ac:dyDescent="0.2">
      <c r="C33" s="31">
        <v>1</v>
      </c>
      <c r="D33" s="31">
        <v>1611000533</v>
      </c>
      <c r="E33" s="31" t="s">
        <v>438</v>
      </c>
      <c r="F33" s="72">
        <v>8</v>
      </c>
      <c r="G33" s="100">
        <v>8</v>
      </c>
      <c r="H33" s="100">
        <f>G33</f>
        <v>8</v>
      </c>
      <c r="J33" s="1"/>
      <c r="K33" s="1"/>
      <c r="L33" s="59"/>
      <c r="M33" s="1"/>
      <c r="N33" s="59"/>
    </row>
    <row r="34" spans="3:14" x14ac:dyDescent="0.2">
      <c r="C34" s="31">
        <v>2</v>
      </c>
      <c r="D34" s="31">
        <v>1613000533</v>
      </c>
      <c r="E34" s="31" t="s">
        <v>171</v>
      </c>
      <c r="F34" s="72">
        <v>0</v>
      </c>
      <c r="G34" s="100">
        <v>0</v>
      </c>
      <c r="H34" s="100">
        <f t="shared" ref="H34:H45" si="3">G34</f>
        <v>0</v>
      </c>
      <c r="J34" s="1"/>
      <c r="K34" s="1"/>
      <c r="L34" s="59"/>
      <c r="M34" s="1"/>
      <c r="N34" s="59"/>
    </row>
    <row r="35" spans="3:14" x14ac:dyDescent="0.2">
      <c r="C35" s="31">
        <v>3</v>
      </c>
      <c r="D35" s="31">
        <v>1711000533</v>
      </c>
      <c r="E35" s="31" t="s">
        <v>203</v>
      </c>
      <c r="F35" s="72">
        <v>100</v>
      </c>
      <c r="G35" s="100">
        <v>100</v>
      </c>
      <c r="H35" s="100">
        <f t="shared" si="3"/>
        <v>100</v>
      </c>
      <c r="I35" s="1"/>
      <c r="K35" s="1"/>
      <c r="L35" s="59"/>
      <c r="M35" s="1"/>
      <c r="N35" s="59"/>
    </row>
    <row r="36" spans="3:14" x14ac:dyDescent="0.2">
      <c r="C36" s="31">
        <v>4</v>
      </c>
      <c r="D36" s="31">
        <v>1712200533</v>
      </c>
      <c r="E36" s="31" t="s">
        <v>209</v>
      </c>
      <c r="F36" s="72">
        <v>50</v>
      </c>
      <c r="G36" s="100">
        <v>50</v>
      </c>
      <c r="H36" s="100">
        <f t="shared" si="3"/>
        <v>50</v>
      </c>
      <c r="J36" s="1"/>
      <c r="L36" s="59"/>
      <c r="N36" s="59"/>
    </row>
    <row r="37" spans="3:14" x14ac:dyDescent="0.2">
      <c r="C37" s="31">
        <v>5</v>
      </c>
      <c r="D37" s="31">
        <v>1712300533</v>
      </c>
      <c r="E37" s="31" t="s">
        <v>214</v>
      </c>
      <c r="F37" s="72">
        <v>200</v>
      </c>
      <c r="G37" s="100">
        <v>200</v>
      </c>
      <c r="H37" s="100">
        <f t="shared" si="3"/>
        <v>200</v>
      </c>
      <c r="J37" s="1"/>
      <c r="L37" s="59"/>
      <c r="N37" s="59"/>
    </row>
    <row r="38" spans="3:14" x14ac:dyDescent="0.2">
      <c r="C38" s="31">
        <v>6</v>
      </c>
      <c r="D38" s="31">
        <v>1721000533</v>
      </c>
      <c r="E38" s="31" t="s">
        <v>220</v>
      </c>
      <c r="F38" s="72">
        <v>2</v>
      </c>
      <c r="G38" s="100">
        <v>2</v>
      </c>
      <c r="H38" s="100">
        <f t="shared" si="3"/>
        <v>2</v>
      </c>
      <c r="J38" s="1"/>
      <c r="L38" s="59"/>
      <c r="N38" s="59"/>
    </row>
    <row r="39" spans="3:14" x14ac:dyDescent="0.2">
      <c r="C39" s="31">
        <v>7</v>
      </c>
      <c r="D39" s="31">
        <v>1746000533</v>
      </c>
      <c r="E39" s="31" t="s">
        <v>243</v>
      </c>
      <c r="F39" s="72">
        <v>15</v>
      </c>
      <c r="G39" s="100">
        <v>15</v>
      </c>
      <c r="H39" s="100">
        <f t="shared" si="3"/>
        <v>15</v>
      </c>
      <c r="J39" s="1"/>
      <c r="L39" s="59"/>
      <c r="N39" s="59"/>
    </row>
    <row r="40" spans="3:14" x14ac:dyDescent="0.2">
      <c r="C40" s="31">
        <v>8</v>
      </c>
      <c r="D40" s="31">
        <v>1817910533</v>
      </c>
      <c r="E40" s="31" t="s">
        <v>292</v>
      </c>
      <c r="F40" s="72">
        <v>0</v>
      </c>
      <c r="G40" s="100">
        <v>0</v>
      </c>
      <c r="H40" s="100">
        <f t="shared" si="3"/>
        <v>0</v>
      </c>
      <c r="J40" s="1"/>
      <c r="L40" s="59"/>
      <c r="N40" s="59"/>
    </row>
    <row r="41" spans="3:14" x14ac:dyDescent="0.2">
      <c r="C41" s="31">
        <v>9</v>
      </c>
      <c r="D41" s="31">
        <v>1822200533</v>
      </c>
      <c r="E41" s="31" t="s">
        <v>298</v>
      </c>
      <c r="F41" s="72">
        <v>3</v>
      </c>
      <c r="G41" s="100">
        <v>3</v>
      </c>
      <c r="H41" s="100">
        <f t="shared" si="3"/>
        <v>3</v>
      </c>
      <c r="J41" s="1"/>
      <c r="L41" s="59"/>
      <c r="N41" s="59"/>
    </row>
    <row r="42" spans="3:14" x14ac:dyDescent="0.2">
      <c r="C42" s="31">
        <v>10</v>
      </c>
      <c r="D42" s="31">
        <v>1841000533</v>
      </c>
      <c r="E42" s="31" t="s">
        <v>322</v>
      </c>
      <c r="F42" s="72">
        <v>0</v>
      </c>
      <c r="G42" s="100">
        <v>0</v>
      </c>
      <c r="H42" s="100">
        <f t="shared" si="3"/>
        <v>0</v>
      </c>
      <c r="J42" s="1"/>
      <c r="L42" s="59"/>
      <c r="N42" s="59"/>
    </row>
    <row r="43" spans="3:14" x14ac:dyDescent="0.2">
      <c r="C43" s="31">
        <v>11</v>
      </c>
      <c r="D43" s="31">
        <v>1860000533</v>
      </c>
      <c r="E43" s="31" t="s">
        <v>439</v>
      </c>
      <c r="F43" s="72">
        <v>0</v>
      </c>
      <c r="G43" s="100">
        <v>0</v>
      </c>
      <c r="H43" s="100">
        <f t="shared" si="3"/>
        <v>0</v>
      </c>
    </row>
    <row r="44" spans="3:14" x14ac:dyDescent="0.2">
      <c r="C44" s="31">
        <v>12</v>
      </c>
      <c r="D44" s="31">
        <v>1913000533</v>
      </c>
      <c r="E44" s="31" t="s">
        <v>362</v>
      </c>
      <c r="F44" s="72">
        <v>19</v>
      </c>
      <c r="G44" s="100">
        <v>19</v>
      </c>
      <c r="H44" s="100">
        <f t="shared" si="3"/>
        <v>19</v>
      </c>
    </row>
    <row r="45" spans="3:14" x14ac:dyDescent="0.2">
      <c r="C45" s="31">
        <v>13</v>
      </c>
      <c r="D45" s="31">
        <v>1943000533</v>
      </c>
      <c r="E45" s="31" t="s">
        <v>371</v>
      </c>
      <c r="F45" s="72">
        <v>18</v>
      </c>
      <c r="G45" s="100">
        <v>18</v>
      </c>
      <c r="H45" s="100">
        <f t="shared" si="3"/>
        <v>18</v>
      </c>
    </row>
    <row r="46" spans="3:14" ht="15" x14ac:dyDescent="0.25">
      <c r="C46" s="181"/>
      <c r="D46" s="440" t="s">
        <v>419</v>
      </c>
      <c r="E46" s="440"/>
      <c r="F46" s="105">
        <f t="shared" ref="F46:G46" si="4">SUM(F33:F45)</f>
        <v>415</v>
      </c>
      <c r="G46" s="105">
        <f t="shared" si="4"/>
        <v>415</v>
      </c>
      <c r="H46" s="105">
        <f>SUM(H33:H45)</f>
        <v>415</v>
      </c>
    </row>
    <row r="49" spans="3:8" s="124" customFormat="1" ht="47.25" x14ac:dyDescent="0.2">
      <c r="C49" s="123" t="s">
        <v>599</v>
      </c>
      <c r="D49" s="123" t="s">
        <v>0</v>
      </c>
      <c r="E49" s="123" t="s">
        <v>1</v>
      </c>
      <c r="F49" s="113" t="s">
        <v>983</v>
      </c>
      <c r="G49" s="113" t="s">
        <v>981</v>
      </c>
      <c r="H49" s="175" t="s">
        <v>1162</v>
      </c>
    </row>
    <row r="50" spans="3:8" x14ac:dyDescent="0.2">
      <c r="C50" s="3">
        <v>1</v>
      </c>
      <c r="D50" s="3">
        <v>1723000422</v>
      </c>
      <c r="E50" s="3" t="s">
        <v>999</v>
      </c>
      <c r="F50" s="25">
        <v>85</v>
      </c>
      <c r="G50" s="115">
        <v>85</v>
      </c>
      <c r="H50" s="115">
        <f>G50</f>
        <v>85</v>
      </c>
    </row>
    <row r="51" spans="3:8" ht="15" x14ac:dyDescent="0.25">
      <c r="C51" s="74"/>
      <c r="D51" s="446" t="s">
        <v>419</v>
      </c>
      <c r="E51" s="447"/>
      <c r="F51" s="103">
        <f t="shared" ref="F51:G51" si="5">SUM(F50)</f>
        <v>85</v>
      </c>
      <c r="G51" s="103">
        <f t="shared" si="5"/>
        <v>85</v>
      </c>
      <c r="H51" s="103">
        <f>SUM(H50)</f>
        <v>85</v>
      </c>
    </row>
    <row r="53" spans="3:8" x14ac:dyDescent="0.2">
      <c r="E53" s="4"/>
    </row>
  </sheetData>
  <mergeCells count="5">
    <mergeCell ref="D28:E28"/>
    <mergeCell ref="D46:E46"/>
    <mergeCell ref="E30:G30"/>
    <mergeCell ref="D51:E51"/>
    <mergeCell ref="E2:H2"/>
  </mergeCells>
  <pageMargins left="0.23622047244094491" right="0.43307086614173229" top="0.74803149606299213" bottom="0.49" header="0.31496062992125984" footer="0.46"/>
  <pageSetup paperSize="9" scale="93" firstPageNumber="22" orientation="portrait" useFirstPageNumber="1" r:id="rId1"/>
  <headerFooter>
    <oddFooter>עמוד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8"/>
  <dimension ref="A2:L21"/>
  <sheetViews>
    <sheetView rightToLeft="1" topLeftCell="B6" zoomScale="120" zoomScaleNormal="120" workbookViewId="0">
      <selection activeCell="D15" sqref="D15"/>
    </sheetView>
  </sheetViews>
  <sheetFormatPr defaultRowHeight="14.25" x14ac:dyDescent="0.2"/>
  <cols>
    <col min="1" max="1" width="8.625" hidden="1" customWidth="1"/>
    <col min="2" max="2" width="4.5" bestFit="1" customWidth="1"/>
    <col min="3" max="3" width="10.875" bestFit="1" customWidth="1"/>
    <col min="4" max="4" width="23.625" bestFit="1" customWidth="1"/>
    <col min="5" max="5" width="12.625" bestFit="1" customWidth="1"/>
    <col min="6" max="6" width="14.75" customWidth="1"/>
    <col min="7" max="8" width="9.625" bestFit="1" customWidth="1"/>
  </cols>
  <sheetData>
    <row r="2" spans="1:12" ht="24" customHeight="1" x14ac:dyDescent="0.2">
      <c r="C2" s="132">
        <v>534</v>
      </c>
      <c r="D2" s="408" t="s">
        <v>440</v>
      </c>
      <c r="E2" s="408"/>
      <c r="F2" s="408"/>
      <c r="G2" s="408"/>
    </row>
    <row r="4" spans="1:12" s="124" customFormat="1" ht="51.75" customHeight="1" x14ac:dyDescent="0.2">
      <c r="A4" s="119"/>
      <c r="B4" s="123" t="s">
        <v>599</v>
      </c>
      <c r="C4" s="123" t="s">
        <v>0</v>
      </c>
      <c r="D4" s="123" t="s">
        <v>1</v>
      </c>
      <c r="E4" s="113" t="s">
        <v>1159</v>
      </c>
      <c r="F4" s="113" t="s">
        <v>1156</v>
      </c>
      <c r="G4" s="175" t="s">
        <v>1162</v>
      </c>
    </row>
    <row r="5" spans="1:12" x14ac:dyDescent="0.2">
      <c r="A5" s="3"/>
      <c r="B5" s="3">
        <v>1</v>
      </c>
      <c r="C5" s="3">
        <v>1611000534</v>
      </c>
      <c r="D5" s="3" t="s">
        <v>441</v>
      </c>
      <c r="E5" s="72">
        <v>190</v>
      </c>
      <c r="F5" s="72">
        <v>196</v>
      </c>
      <c r="G5" s="255">
        <f>F5+59</f>
        <v>255</v>
      </c>
      <c r="J5" s="1"/>
      <c r="L5" s="59"/>
    </row>
    <row r="6" spans="1:12" x14ac:dyDescent="0.2">
      <c r="A6" s="3"/>
      <c r="B6" s="3">
        <v>2</v>
      </c>
      <c r="C6" s="3">
        <v>1612000534</v>
      </c>
      <c r="D6" s="3" t="s">
        <v>164</v>
      </c>
      <c r="E6" s="72">
        <v>64</v>
      </c>
      <c r="F6" s="72">
        <v>64</v>
      </c>
      <c r="G6" s="72">
        <f t="shared" ref="G6:G20" si="0">F6</f>
        <v>64</v>
      </c>
      <c r="I6" s="1"/>
      <c r="J6" s="1"/>
      <c r="K6" s="1"/>
      <c r="L6" s="59"/>
    </row>
    <row r="7" spans="1:12" x14ac:dyDescent="0.2">
      <c r="A7" s="3"/>
      <c r="B7" s="3">
        <v>3</v>
      </c>
      <c r="C7" s="3">
        <v>1613000534</v>
      </c>
      <c r="D7" s="3" t="s">
        <v>172</v>
      </c>
      <c r="E7" s="72">
        <v>66</v>
      </c>
      <c r="F7" s="72">
        <v>55</v>
      </c>
      <c r="G7" s="72">
        <f t="shared" si="0"/>
        <v>55</v>
      </c>
      <c r="I7" s="1"/>
      <c r="K7" s="1"/>
      <c r="L7" s="59"/>
    </row>
    <row r="8" spans="1:12" x14ac:dyDescent="0.2">
      <c r="A8" s="3"/>
      <c r="B8" s="3">
        <v>4</v>
      </c>
      <c r="C8" s="3">
        <v>1617000534</v>
      </c>
      <c r="D8" s="3" t="s">
        <v>182</v>
      </c>
      <c r="E8" s="72">
        <v>32</v>
      </c>
      <c r="F8" s="72">
        <v>62</v>
      </c>
      <c r="G8" s="72">
        <f t="shared" si="0"/>
        <v>62</v>
      </c>
      <c r="J8" s="1"/>
      <c r="K8" s="1"/>
      <c r="L8" s="59"/>
    </row>
    <row r="9" spans="1:12" x14ac:dyDescent="0.2">
      <c r="A9" s="3"/>
      <c r="B9" s="3">
        <v>5</v>
      </c>
      <c r="C9" s="3">
        <v>1621000534</v>
      </c>
      <c r="D9" s="3" t="s">
        <v>189</v>
      </c>
      <c r="E9" s="72">
        <v>55</v>
      </c>
      <c r="F9" s="72">
        <v>55</v>
      </c>
      <c r="G9" s="72">
        <f t="shared" si="0"/>
        <v>55</v>
      </c>
      <c r="H9" s="1"/>
      <c r="J9" s="1"/>
      <c r="L9" s="59"/>
    </row>
    <row r="10" spans="1:12" x14ac:dyDescent="0.2">
      <c r="A10" s="3"/>
      <c r="B10" s="3">
        <v>6</v>
      </c>
      <c r="C10" s="3">
        <v>1711000534</v>
      </c>
      <c r="D10" s="3" t="s">
        <v>204</v>
      </c>
      <c r="E10" s="72">
        <v>462</v>
      </c>
      <c r="F10" s="72">
        <f>462+60</f>
        <v>522</v>
      </c>
      <c r="G10" s="72">
        <f t="shared" si="0"/>
        <v>522</v>
      </c>
      <c r="J10" s="1"/>
      <c r="K10" s="1"/>
      <c r="L10" s="59"/>
    </row>
    <row r="11" spans="1:12" x14ac:dyDescent="0.2">
      <c r="A11" s="3"/>
      <c r="B11" s="3">
        <v>7</v>
      </c>
      <c r="C11" s="3">
        <v>1712200534</v>
      </c>
      <c r="D11" s="3" t="s">
        <v>210</v>
      </c>
      <c r="E11" s="72">
        <v>225</v>
      </c>
      <c r="F11" s="72">
        <v>245</v>
      </c>
      <c r="G11" s="72">
        <f t="shared" si="0"/>
        <v>245</v>
      </c>
      <c r="H11" s="1"/>
      <c r="J11" s="1"/>
      <c r="L11" s="59"/>
    </row>
    <row r="12" spans="1:12" x14ac:dyDescent="0.2">
      <c r="A12" s="3"/>
      <c r="B12" s="3">
        <v>8</v>
      </c>
      <c r="C12" s="3">
        <v>1721000534</v>
      </c>
      <c r="D12" s="3" t="s">
        <v>221</v>
      </c>
      <c r="E12" s="72">
        <v>133</v>
      </c>
      <c r="F12" s="72">
        <v>134</v>
      </c>
      <c r="G12" s="72">
        <f t="shared" si="0"/>
        <v>134</v>
      </c>
      <c r="H12" s="1"/>
      <c r="J12" s="1"/>
      <c r="K12" s="1"/>
      <c r="L12" s="59"/>
    </row>
    <row r="13" spans="1:12" x14ac:dyDescent="0.2">
      <c r="A13" s="3"/>
      <c r="B13" s="3">
        <v>9</v>
      </c>
      <c r="C13" s="3">
        <v>1733000534</v>
      </c>
      <c r="D13" s="3" t="s">
        <v>236</v>
      </c>
      <c r="E13" s="72">
        <v>45</v>
      </c>
      <c r="F13" s="72">
        <v>64</v>
      </c>
      <c r="G13" s="72">
        <f t="shared" si="0"/>
        <v>64</v>
      </c>
      <c r="I13" s="1"/>
      <c r="K13" s="1"/>
      <c r="L13" s="59"/>
    </row>
    <row r="14" spans="1:12" x14ac:dyDescent="0.2">
      <c r="A14" s="3"/>
      <c r="B14" s="3">
        <v>10</v>
      </c>
      <c r="C14" s="3">
        <v>1746000534</v>
      </c>
      <c r="D14" s="3" t="s">
        <v>244</v>
      </c>
      <c r="E14" s="72">
        <v>68</v>
      </c>
      <c r="F14" s="72">
        <v>68</v>
      </c>
      <c r="G14" s="72">
        <f t="shared" si="0"/>
        <v>68</v>
      </c>
      <c r="H14" s="1"/>
      <c r="J14" s="1"/>
      <c r="L14" s="59"/>
    </row>
    <row r="15" spans="1:12" x14ac:dyDescent="0.2">
      <c r="A15" s="3"/>
      <c r="B15" s="3">
        <v>11</v>
      </c>
      <c r="C15" s="3">
        <v>1811000534</v>
      </c>
      <c r="D15" s="3" t="s">
        <v>265</v>
      </c>
      <c r="E15" s="72">
        <v>104</v>
      </c>
      <c r="F15" s="72">
        <v>104</v>
      </c>
      <c r="G15" s="72">
        <f t="shared" si="0"/>
        <v>104</v>
      </c>
      <c r="H15" s="1"/>
      <c r="J15" s="1"/>
      <c r="L15" s="59"/>
    </row>
    <row r="16" spans="1:12" x14ac:dyDescent="0.2">
      <c r="A16" s="3"/>
      <c r="B16" s="3">
        <v>12</v>
      </c>
      <c r="C16" s="3">
        <v>1817910534</v>
      </c>
      <c r="D16" s="3" t="s">
        <v>1002</v>
      </c>
      <c r="E16" s="72">
        <v>120</v>
      </c>
      <c r="F16" s="72">
        <v>120</v>
      </c>
      <c r="G16" s="72">
        <f t="shared" si="0"/>
        <v>120</v>
      </c>
      <c r="H16" s="1"/>
      <c r="J16" s="1"/>
      <c r="K16" s="1"/>
      <c r="L16" s="59"/>
    </row>
    <row r="17" spans="1:12" x14ac:dyDescent="0.2">
      <c r="A17" s="3"/>
      <c r="B17" s="3">
        <v>13</v>
      </c>
      <c r="C17" s="3">
        <v>1821000534</v>
      </c>
      <c r="D17" s="3" t="s">
        <v>295</v>
      </c>
      <c r="E17" s="72">
        <v>0</v>
      </c>
      <c r="F17" s="72">
        <v>0</v>
      </c>
      <c r="G17" s="72">
        <f t="shared" si="0"/>
        <v>0</v>
      </c>
      <c r="I17" s="1"/>
      <c r="J17" s="1"/>
      <c r="K17" s="1"/>
      <c r="L17" s="59"/>
    </row>
    <row r="18" spans="1:12" x14ac:dyDescent="0.2">
      <c r="A18" s="3"/>
      <c r="B18" s="3">
        <v>14</v>
      </c>
      <c r="C18" s="8">
        <v>1822100534</v>
      </c>
      <c r="D18" s="8" t="s">
        <v>1116</v>
      </c>
      <c r="E18" s="72">
        <v>28</v>
      </c>
      <c r="F18" s="72">
        <v>28</v>
      </c>
      <c r="G18" s="72">
        <f t="shared" si="0"/>
        <v>28</v>
      </c>
      <c r="H18" s="1"/>
      <c r="J18" s="1"/>
      <c r="K18" s="1"/>
      <c r="L18" s="59"/>
    </row>
    <row r="19" spans="1:12" x14ac:dyDescent="0.2">
      <c r="A19" s="3"/>
      <c r="B19" s="3">
        <v>15</v>
      </c>
      <c r="C19" s="8">
        <v>1860000534</v>
      </c>
      <c r="D19" s="8" t="s">
        <v>1117</v>
      </c>
      <c r="E19" s="72">
        <v>42</v>
      </c>
      <c r="F19" s="72">
        <v>42</v>
      </c>
      <c r="G19" s="72">
        <f t="shared" si="0"/>
        <v>42</v>
      </c>
      <c r="K19" s="1"/>
      <c r="L19" s="59"/>
    </row>
    <row r="20" spans="1:12" x14ac:dyDescent="0.2">
      <c r="A20" s="3"/>
      <c r="B20" s="3">
        <v>16</v>
      </c>
      <c r="C20" s="3">
        <v>1913000534</v>
      </c>
      <c r="D20" s="8" t="s">
        <v>238</v>
      </c>
      <c r="E20" s="72">
        <v>35</v>
      </c>
      <c r="F20" s="72">
        <v>45</v>
      </c>
      <c r="G20" s="72">
        <f t="shared" si="0"/>
        <v>45</v>
      </c>
      <c r="H20" s="1"/>
    </row>
    <row r="21" spans="1:12" ht="15" x14ac:dyDescent="0.25">
      <c r="A21" s="3"/>
      <c r="B21" s="74"/>
      <c r="C21" s="417" t="s">
        <v>419</v>
      </c>
      <c r="D21" s="417"/>
      <c r="E21" s="106">
        <f t="shared" ref="E21:F21" si="1">SUM(E5:E20)</f>
        <v>1669</v>
      </c>
      <c r="F21" s="106">
        <f t="shared" si="1"/>
        <v>1804</v>
      </c>
      <c r="G21" s="233">
        <f>SUM(G5:G20)</f>
        <v>1863</v>
      </c>
    </row>
  </sheetData>
  <mergeCells count="2">
    <mergeCell ref="C21:D21"/>
    <mergeCell ref="D2:G2"/>
  </mergeCells>
  <pageMargins left="0.19685039370078741" right="0.47244094488188981" top="0.74803149606299213" bottom="0.74803149606299213" header="0.31496062992125984" footer="0.31496062992125984"/>
  <pageSetup paperSize="9" scale="82" firstPageNumber="24" orientation="portrait" useFirstPageNumber="1" r:id="rId1"/>
  <headerFooter>
    <oddHeader>&amp;C&amp;[ע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9">
    <pageSetUpPr fitToPage="1"/>
  </sheetPr>
  <dimension ref="A2:L31"/>
  <sheetViews>
    <sheetView rightToLeft="1" tabSelected="1" topLeftCell="C10" zoomScale="110" zoomScaleNormal="110" workbookViewId="0">
      <selection activeCell="H16" sqref="H16"/>
    </sheetView>
  </sheetViews>
  <sheetFormatPr defaultRowHeight="14.25" x14ac:dyDescent="0.2"/>
  <cols>
    <col min="1" max="2" width="8.625" hidden="1" customWidth="1"/>
    <col min="3" max="3" width="4.875" customWidth="1"/>
    <col min="4" max="4" width="11.125" bestFit="1" customWidth="1"/>
    <col min="5" max="5" width="24.625" customWidth="1"/>
    <col min="6" max="6" width="12.375" customWidth="1"/>
  </cols>
  <sheetData>
    <row r="2" spans="1:12" ht="23.25" x14ac:dyDescent="0.2">
      <c r="D2" s="7">
        <v>540</v>
      </c>
      <c r="E2" s="436" t="s">
        <v>442</v>
      </c>
      <c r="F2" s="436"/>
      <c r="G2" s="436"/>
      <c r="H2" s="436"/>
      <c r="I2" s="436"/>
      <c r="J2" s="436"/>
    </row>
    <row r="4" spans="1:12" s="124" customFormat="1" ht="63" x14ac:dyDescent="0.2">
      <c r="C4" s="123" t="s">
        <v>596</v>
      </c>
      <c r="D4" s="123" t="s">
        <v>0</v>
      </c>
      <c r="E4" s="123" t="s">
        <v>1</v>
      </c>
      <c r="F4" s="113" t="s">
        <v>1159</v>
      </c>
      <c r="G4" s="113" t="s">
        <v>1156</v>
      </c>
      <c r="H4" s="175" t="s">
        <v>1160</v>
      </c>
      <c r="I4" s="175" t="s">
        <v>1161</v>
      </c>
      <c r="J4" s="175" t="s">
        <v>1162</v>
      </c>
    </row>
    <row r="5" spans="1:12" x14ac:dyDescent="0.2">
      <c r="A5" s="35"/>
      <c r="B5" s="35"/>
      <c r="C5" s="3">
        <v>1</v>
      </c>
      <c r="D5" s="3">
        <v>1613000540</v>
      </c>
      <c r="E5" s="3" t="s">
        <v>1186</v>
      </c>
      <c r="F5" s="70">
        <v>1586</v>
      </c>
      <c r="G5" s="70">
        <v>1586</v>
      </c>
      <c r="H5" s="70">
        <f>G5/12</f>
        <v>132.16666666666666</v>
      </c>
      <c r="I5" s="70">
        <v>6</v>
      </c>
      <c r="J5" s="70">
        <f>G5</f>
        <v>1586</v>
      </c>
    </row>
    <row r="6" spans="1:12" ht="15" x14ac:dyDescent="0.25">
      <c r="C6" s="74"/>
      <c r="D6" s="417" t="s">
        <v>419</v>
      </c>
      <c r="E6" s="417"/>
      <c r="F6" s="106">
        <f>SUM(F5)</f>
        <v>1586</v>
      </c>
      <c r="G6" s="106">
        <f>SUM(G5)</f>
        <v>1586</v>
      </c>
      <c r="H6" s="106">
        <f>SUM(H5)</f>
        <v>132.16666666666666</v>
      </c>
      <c r="I6" s="106">
        <f>SUM(I5)</f>
        <v>6</v>
      </c>
      <c r="J6" s="106">
        <f>SUM(J5)</f>
        <v>1586</v>
      </c>
    </row>
    <row r="8" spans="1:12" ht="23.25" x14ac:dyDescent="0.2">
      <c r="D8" s="7">
        <v>550</v>
      </c>
      <c r="E8" s="408" t="s">
        <v>443</v>
      </c>
      <c r="F8" s="408"/>
      <c r="G8" s="408"/>
      <c r="H8" s="408"/>
      <c r="I8" s="408"/>
      <c r="J8" s="408"/>
    </row>
    <row r="10" spans="1:12" s="124" customFormat="1" ht="63" x14ac:dyDescent="0.2">
      <c r="C10" s="328" t="s">
        <v>596</v>
      </c>
      <c r="D10" s="328" t="s">
        <v>0</v>
      </c>
      <c r="E10" s="328" t="s">
        <v>1</v>
      </c>
      <c r="F10" s="330" t="s">
        <v>1159</v>
      </c>
      <c r="G10" s="330" t="s">
        <v>1156</v>
      </c>
      <c r="H10" s="331" t="s">
        <v>1160</v>
      </c>
      <c r="I10" s="331" t="s">
        <v>1161</v>
      </c>
      <c r="J10" s="331" t="s">
        <v>1162</v>
      </c>
    </row>
    <row r="11" spans="1:12" x14ac:dyDescent="0.2">
      <c r="C11" s="189">
        <v>1</v>
      </c>
      <c r="D11" s="189">
        <v>1611000550</v>
      </c>
      <c r="E11" s="189" t="s">
        <v>158</v>
      </c>
      <c r="F11" s="250">
        <v>58</v>
      </c>
      <c r="G11" s="250">
        <v>58</v>
      </c>
      <c r="H11" s="250">
        <f>G11/12</f>
        <v>4.833333333333333</v>
      </c>
      <c r="I11" s="250">
        <v>56</v>
      </c>
      <c r="J11" s="250">
        <v>68</v>
      </c>
      <c r="L11" s="59"/>
    </row>
    <row r="12" spans="1:12" x14ac:dyDescent="0.2">
      <c r="C12" s="189">
        <v>2</v>
      </c>
      <c r="D12" s="189">
        <v>1613000550</v>
      </c>
      <c r="E12" s="189" t="s">
        <v>1115</v>
      </c>
      <c r="F12" s="365">
        <v>80</v>
      </c>
      <c r="G12" s="365">
        <v>80</v>
      </c>
      <c r="H12" s="250">
        <f t="shared" ref="H12:H14" si="0">G12/12</f>
        <v>6.666666666666667</v>
      </c>
      <c r="I12" s="365">
        <v>4</v>
      </c>
      <c r="J12" s="250">
        <v>70</v>
      </c>
      <c r="K12" s="1"/>
      <c r="L12" s="59"/>
    </row>
    <row r="13" spans="1:12" x14ac:dyDescent="0.2">
      <c r="C13" s="189">
        <v>3</v>
      </c>
      <c r="D13" s="189">
        <v>1613200550</v>
      </c>
      <c r="E13" s="189" t="s">
        <v>485</v>
      </c>
      <c r="F13" s="365">
        <v>150</v>
      </c>
      <c r="G13" s="365">
        <v>150</v>
      </c>
      <c r="H13" s="250">
        <f t="shared" si="0"/>
        <v>12.5</v>
      </c>
      <c r="I13" s="365">
        <v>31</v>
      </c>
      <c r="J13" s="250">
        <v>240</v>
      </c>
      <c r="L13" s="59"/>
    </row>
    <row r="14" spans="1:12" x14ac:dyDescent="0.2">
      <c r="C14" s="189">
        <v>4</v>
      </c>
      <c r="D14" s="189">
        <v>1723200550</v>
      </c>
      <c r="E14" s="189" t="s">
        <v>528</v>
      </c>
      <c r="F14" s="199">
        <v>13</v>
      </c>
      <c r="G14" s="199">
        <v>13</v>
      </c>
      <c r="H14" s="250">
        <f t="shared" si="0"/>
        <v>1.0833333333333333</v>
      </c>
      <c r="I14" s="199">
        <v>1</v>
      </c>
      <c r="J14" s="250">
        <f t="shared" ref="J14" si="1">G14</f>
        <v>13</v>
      </c>
      <c r="L14" s="59"/>
    </row>
    <row r="15" spans="1:12" ht="15" x14ac:dyDescent="0.25">
      <c r="C15" s="338"/>
      <c r="D15" s="416" t="s">
        <v>419</v>
      </c>
      <c r="E15" s="416"/>
      <c r="F15" s="370">
        <f>SUM(F11:F14)</f>
        <v>301</v>
      </c>
      <c r="G15" s="370">
        <f>SUM(G11:G14)</f>
        <v>301</v>
      </c>
      <c r="H15" s="370">
        <f>SUM(H11:H14)</f>
        <v>25.083333333333332</v>
      </c>
      <c r="I15" s="370">
        <f>SUM(I11:I14)</f>
        <v>92</v>
      </c>
      <c r="J15" s="370">
        <f>SUM(J11:J14)</f>
        <v>391</v>
      </c>
    </row>
    <row r="16" spans="1:12" x14ac:dyDescent="0.2">
      <c r="D16" s="11"/>
    </row>
    <row r="18" spans="3:10" ht="23.25" x14ac:dyDescent="0.2">
      <c r="D18" s="7">
        <v>570</v>
      </c>
      <c r="E18" s="436" t="s">
        <v>996</v>
      </c>
      <c r="F18" s="436"/>
      <c r="G18" s="436"/>
      <c r="H18" s="436"/>
      <c r="I18" s="436"/>
      <c r="J18" s="436"/>
    </row>
    <row r="20" spans="3:10" s="124" customFormat="1" ht="63" x14ac:dyDescent="0.2">
      <c r="C20" s="328" t="s">
        <v>596</v>
      </c>
      <c r="D20" s="328" t="s">
        <v>0</v>
      </c>
      <c r="E20" s="328" t="s">
        <v>1</v>
      </c>
      <c r="F20" s="330" t="s">
        <v>1159</v>
      </c>
      <c r="G20" s="330" t="s">
        <v>1156</v>
      </c>
      <c r="H20" s="331" t="s">
        <v>1160</v>
      </c>
      <c r="I20" s="331" t="s">
        <v>1161</v>
      </c>
      <c r="J20" s="331" t="s">
        <v>1162</v>
      </c>
    </row>
    <row r="21" spans="3:10" x14ac:dyDescent="0.2">
      <c r="C21" s="189">
        <v>1</v>
      </c>
      <c r="D21" s="189">
        <v>1621300570</v>
      </c>
      <c r="E21" s="189" t="s">
        <v>192</v>
      </c>
      <c r="F21" s="371">
        <v>0</v>
      </c>
      <c r="G21" s="371">
        <v>0</v>
      </c>
      <c r="H21" s="371">
        <f>G21/12</f>
        <v>0</v>
      </c>
      <c r="I21" s="371">
        <v>0</v>
      </c>
      <c r="J21" s="371">
        <f>G21</f>
        <v>0</v>
      </c>
    </row>
    <row r="22" spans="3:10" x14ac:dyDescent="0.2">
      <c r="C22" s="189">
        <v>2</v>
      </c>
      <c r="D22" s="189">
        <v>1623000570</v>
      </c>
      <c r="E22" s="189" t="s">
        <v>486</v>
      </c>
      <c r="F22" s="372">
        <v>1248</v>
      </c>
      <c r="G22" s="372">
        <v>1248</v>
      </c>
      <c r="H22" s="371">
        <f t="shared" ref="H22:H25" si="2">G22/12</f>
        <v>104</v>
      </c>
      <c r="I22" s="372">
        <v>103</v>
      </c>
      <c r="J22" s="371">
        <v>1200</v>
      </c>
    </row>
    <row r="23" spans="3:10" x14ac:dyDescent="0.2">
      <c r="C23" s="189">
        <v>3</v>
      </c>
      <c r="D23" s="189">
        <v>1732000570</v>
      </c>
      <c r="E23" s="189" t="s">
        <v>966</v>
      </c>
      <c r="F23" s="372">
        <v>120</v>
      </c>
      <c r="G23" s="372">
        <v>120</v>
      </c>
      <c r="H23" s="371">
        <f t="shared" si="2"/>
        <v>10</v>
      </c>
      <c r="I23" s="372">
        <v>7</v>
      </c>
      <c r="J23" s="371">
        <f t="shared" ref="J23" si="3">G23</f>
        <v>120</v>
      </c>
    </row>
    <row r="24" spans="3:10" x14ac:dyDescent="0.2">
      <c r="C24" s="189">
        <v>4</v>
      </c>
      <c r="D24" s="189">
        <v>1617000570</v>
      </c>
      <c r="E24" s="189" t="s">
        <v>1168</v>
      </c>
      <c r="F24" s="372">
        <v>0</v>
      </c>
      <c r="G24" s="372">
        <v>0</v>
      </c>
      <c r="H24" s="371">
        <v>0</v>
      </c>
      <c r="I24" s="372">
        <v>0</v>
      </c>
      <c r="J24" s="372">
        <f>1500*12/1000</f>
        <v>18</v>
      </c>
    </row>
    <row r="25" spans="3:10" ht="15" x14ac:dyDescent="0.25">
      <c r="C25" s="338"/>
      <c r="D25" s="416" t="s">
        <v>419</v>
      </c>
      <c r="E25" s="416"/>
      <c r="F25" s="373">
        <f>SUM(F21:F23)</f>
        <v>1368</v>
      </c>
      <c r="G25" s="373">
        <f>SUM(G21:G23)</f>
        <v>1368</v>
      </c>
      <c r="H25" s="373">
        <f t="shared" si="2"/>
        <v>114</v>
      </c>
      <c r="I25" s="373">
        <f>SUM(I21:I24)</f>
        <v>110</v>
      </c>
      <c r="J25" s="373">
        <f>SUM(J21:J24)</f>
        <v>1338</v>
      </c>
    </row>
    <row r="28" spans="3:10" x14ac:dyDescent="0.2">
      <c r="E28" s="464"/>
    </row>
    <row r="31" spans="3:10" s="124" customFormat="1" ht="15" x14ac:dyDescent="0.2"/>
  </sheetData>
  <sheetProtection algorithmName="SHA-512" hashValue="11+u19moYm7fBsdzlO6/6ys2PbtM3KhD2rdFoNyp252lCv53MtZnC1LJaweoRv11vkyEPElHIccLyXbtebdD+w==" saltValue="PoIdYEwzzmtI/bE1hBoeNA==" spinCount="100000" sheet="1" formatCells="0" formatColumns="0" formatRows="0" insertColumns="0" insertRows="0" insertHyperlinks="0" deleteColumns="0" deleteRows="0" sort="0" autoFilter="0" pivotTables="0"/>
  <mergeCells count="6">
    <mergeCell ref="E2:J2"/>
    <mergeCell ref="D6:E6"/>
    <mergeCell ref="D15:E15"/>
    <mergeCell ref="D25:E25"/>
    <mergeCell ref="E18:J18"/>
    <mergeCell ref="E8:J8"/>
  </mergeCells>
  <pageMargins left="0.70866141732283472" right="0.70866141732283472" top="0.43307086614173229" bottom="0.35433070866141736" header="0.31496062992125984" footer="0.31496062992125984"/>
  <pageSetup paperSize="9" scale="91" firstPageNumber="25" fitToHeight="0" orientation="portrait" useFirstPageNumber="1" r:id="rId1"/>
  <headerFooter>
    <oddFooter>עמוד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20"/>
  <dimension ref="A2:L23"/>
  <sheetViews>
    <sheetView rightToLeft="1" topLeftCell="C1" zoomScale="110" zoomScaleNormal="110" zoomScaleSheetLayoutView="69" workbookViewId="0">
      <selection activeCell="G15" sqref="C13:J21"/>
    </sheetView>
  </sheetViews>
  <sheetFormatPr defaultRowHeight="14.25" x14ac:dyDescent="0.2"/>
  <cols>
    <col min="1" max="2" width="8.625" hidden="1" customWidth="1"/>
    <col min="3" max="3" width="5" customWidth="1"/>
    <col min="4" max="4" width="13.625" customWidth="1"/>
    <col min="5" max="5" width="22.625" customWidth="1"/>
    <col min="6" max="6" width="13" customWidth="1"/>
    <col min="7" max="7" width="12.375" customWidth="1"/>
    <col min="8" max="8" width="11.125" bestFit="1" customWidth="1"/>
    <col min="9" max="9" width="13.125" bestFit="1" customWidth="1"/>
  </cols>
  <sheetData>
    <row r="2" spans="3:12" ht="23.25" x14ac:dyDescent="0.2">
      <c r="D2" s="7">
        <v>610</v>
      </c>
      <c r="E2" s="436" t="s">
        <v>445</v>
      </c>
      <c r="F2" s="436"/>
      <c r="G2" s="436"/>
      <c r="H2" s="436"/>
      <c r="I2" s="436"/>
      <c r="J2" s="436"/>
    </row>
    <row r="4" spans="3:12" s="124" customFormat="1" ht="47.25" x14ac:dyDescent="0.2">
      <c r="C4" s="328" t="s">
        <v>599</v>
      </c>
      <c r="D4" s="328" t="s">
        <v>0</v>
      </c>
      <c r="E4" s="328" t="s">
        <v>1</v>
      </c>
      <c r="F4" s="330" t="s">
        <v>1159</v>
      </c>
      <c r="G4" s="330" t="s">
        <v>1156</v>
      </c>
      <c r="H4" s="331" t="s">
        <v>1160</v>
      </c>
      <c r="I4" s="331" t="s">
        <v>1161</v>
      </c>
      <c r="J4" s="331" t="s">
        <v>1162</v>
      </c>
    </row>
    <row r="5" spans="3:12" x14ac:dyDescent="0.2">
      <c r="C5" s="189">
        <v>1</v>
      </c>
      <c r="D5" s="189">
        <v>1631000610</v>
      </c>
      <c r="E5" s="189" t="s">
        <v>404</v>
      </c>
      <c r="F5" s="199">
        <v>1200</v>
      </c>
      <c r="G5" s="199">
        <v>1200</v>
      </c>
      <c r="H5" s="199">
        <f>G5/12</f>
        <v>100</v>
      </c>
      <c r="I5" s="250">
        <v>104</v>
      </c>
      <c r="J5" s="199">
        <v>1100</v>
      </c>
    </row>
    <row r="6" spans="3:12" x14ac:dyDescent="0.2">
      <c r="C6" s="189">
        <v>2</v>
      </c>
      <c r="D6" s="189">
        <v>1631100610</v>
      </c>
      <c r="E6" s="189" t="s">
        <v>1033</v>
      </c>
      <c r="F6" s="199">
        <v>1</v>
      </c>
      <c r="G6" s="199">
        <v>0</v>
      </c>
      <c r="H6" s="199">
        <f t="shared" ref="H6:H8" si="0">G6/12</f>
        <v>0</v>
      </c>
      <c r="I6" s="250">
        <v>0</v>
      </c>
      <c r="J6" s="199">
        <f t="shared" ref="J6:J7" si="1">G6</f>
        <v>0</v>
      </c>
    </row>
    <row r="7" spans="3:12" x14ac:dyDescent="0.2">
      <c r="C7" s="189">
        <v>3</v>
      </c>
      <c r="D7" s="189">
        <v>1631300610</v>
      </c>
      <c r="E7" s="189" t="s">
        <v>1003</v>
      </c>
      <c r="F7" s="199">
        <v>0</v>
      </c>
      <c r="G7" s="199">
        <v>0</v>
      </c>
      <c r="H7" s="199">
        <f t="shared" si="0"/>
        <v>0</v>
      </c>
      <c r="I7" s="250">
        <v>92</v>
      </c>
      <c r="J7" s="199">
        <f t="shared" si="1"/>
        <v>0</v>
      </c>
    </row>
    <row r="8" spans="3:12" ht="15" x14ac:dyDescent="0.25">
      <c r="C8" s="338"/>
      <c r="D8" s="416" t="s">
        <v>419</v>
      </c>
      <c r="E8" s="416"/>
      <c r="F8" s="366">
        <f t="shared" ref="F8:G8" si="2">SUM(F5:F7)</f>
        <v>1201</v>
      </c>
      <c r="G8" s="366">
        <f t="shared" si="2"/>
        <v>1200</v>
      </c>
      <c r="H8" s="366">
        <f t="shared" si="0"/>
        <v>100</v>
      </c>
      <c r="I8" s="367">
        <f>SUM(I5:I7)</f>
        <v>196</v>
      </c>
      <c r="J8" s="368">
        <f>SUM(J5:J7)</f>
        <v>1100</v>
      </c>
    </row>
    <row r="9" spans="3:12" x14ac:dyDescent="0.2">
      <c r="I9" s="1"/>
    </row>
    <row r="11" spans="3:12" ht="23.25" x14ac:dyDescent="0.2">
      <c r="D11" s="7" t="s">
        <v>405</v>
      </c>
      <c r="E11" s="436" t="s">
        <v>406</v>
      </c>
      <c r="F11" s="436"/>
      <c r="G11" s="436"/>
      <c r="H11" s="436"/>
      <c r="I11" s="436"/>
      <c r="J11" s="436"/>
    </row>
    <row r="13" spans="3:12" s="124" customFormat="1" ht="47.25" x14ac:dyDescent="0.2">
      <c r="C13" s="328" t="s">
        <v>599</v>
      </c>
      <c r="D13" s="328" t="s">
        <v>0</v>
      </c>
      <c r="E13" s="328" t="s">
        <v>1</v>
      </c>
      <c r="F13" s="330" t="s">
        <v>1159</v>
      </c>
      <c r="G13" s="330" t="s">
        <v>1156</v>
      </c>
      <c r="H13" s="331" t="s">
        <v>1160</v>
      </c>
      <c r="I13" s="331" t="s">
        <v>1161</v>
      </c>
      <c r="J13" s="331" t="s">
        <v>1162</v>
      </c>
    </row>
    <row r="14" spans="3:12" x14ac:dyDescent="0.2">
      <c r="C14" s="189">
        <v>1</v>
      </c>
      <c r="D14" s="189">
        <v>1648000691</v>
      </c>
      <c r="E14" s="189" t="s">
        <v>195</v>
      </c>
      <c r="F14" s="369">
        <v>5722</v>
      </c>
      <c r="G14" s="369">
        <v>6387</v>
      </c>
      <c r="H14" s="369">
        <f>G14/12</f>
        <v>532.25</v>
      </c>
      <c r="I14" s="369">
        <v>503</v>
      </c>
      <c r="J14" s="369">
        <v>8049.0247759978301</v>
      </c>
      <c r="K14" s="303"/>
      <c r="L14" s="59"/>
    </row>
    <row r="15" spans="3:12" x14ac:dyDescent="0.2">
      <c r="C15" s="189">
        <v>2</v>
      </c>
      <c r="D15" s="189">
        <v>1648000692</v>
      </c>
      <c r="E15" s="189" t="s">
        <v>196</v>
      </c>
      <c r="F15" s="369">
        <v>1133</v>
      </c>
      <c r="G15" s="369">
        <v>1500</v>
      </c>
      <c r="H15" s="369">
        <f t="shared" ref="H15:H21" si="3">G15/12</f>
        <v>125</v>
      </c>
      <c r="I15" s="369">
        <v>242</v>
      </c>
      <c r="J15" s="369">
        <v>1655.4778713005701</v>
      </c>
      <c r="K15" s="303"/>
      <c r="L15" s="59"/>
    </row>
    <row r="16" spans="3:12" x14ac:dyDescent="0.2">
      <c r="C16" s="189">
        <v>3</v>
      </c>
      <c r="D16" s="189">
        <v>1648000693</v>
      </c>
      <c r="E16" s="189" t="s">
        <v>197</v>
      </c>
      <c r="F16" s="369">
        <v>97</v>
      </c>
      <c r="G16" s="369">
        <v>68</v>
      </c>
      <c r="H16" s="369">
        <f t="shared" si="3"/>
        <v>5.666666666666667</v>
      </c>
      <c r="I16" s="369">
        <v>6</v>
      </c>
      <c r="J16" s="369">
        <v>75.048330165625842</v>
      </c>
      <c r="K16" s="303"/>
      <c r="L16" s="59"/>
    </row>
    <row r="17" spans="3:12" x14ac:dyDescent="0.2">
      <c r="C17" s="189">
        <v>4</v>
      </c>
      <c r="D17" s="189">
        <v>1649100691</v>
      </c>
      <c r="E17" s="189" t="s">
        <v>195</v>
      </c>
      <c r="F17" s="369">
        <v>5016</v>
      </c>
      <c r="G17" s="369">
        <v>5481</v>
      </c>
      <c r="H17" s="369">
        <f t="shared" si="3"/>
        <v>456.75</v>
      </c>
      <c r="I17" s="369">
        <v>508</v>
      </c>
      <c r="J17" s="369">
        <v>6049.1161417322837</v>
      </c>
      <c r="K17" s="303"/>
      <c r="L17" s="59"/>
    </row>
    <row r="18" spans="3:12" x14ac:dyDescent="0.2">
      <c r="C18" s="189">
        <v>5</v>
      </c>
      <c r="D18" s="189">
        <v>1649100692</v>
      </c>
      <c r="E18" s="189" t="s">
        <v>196</v>
      </c>
      <c r="F18" s="369">
        <v>877</v>
      </c>
      <c r="G18" s="369">
        <v>1238</v>
      </c>
      <c r="H18" s="369">
        <f t="shared" si="3"/>
        <v>103.16666666666667</v>
      </c>
      <c r="I18" s="369">
        <v>196</v>
      </c>
      <c r="J18" s="369">
        <v>1366.3210697800707</v>
      </c>
      <c r="K18" s="303"/>
      <c r="L18" s="59"/>
    </row>
    <row r="19" spans="3:12" x14ac:dyDescent="0.2">
      <c r="C19" s="189">
        <v>6</v>
      </c>
      <c r="D19" s="189">
        <v>1649100693</v>
      </c>
      <c r="E19" s="189" t="s">
        <v>197</v>
      </c>
      <c r="F19" s="369">
        <v>33</v>
      </c>
      <c r="G19" s="369">
        <v>58</v>
      </c>
      <c r="H19" s="369">
        <f t="shared" si="3"/>
        <v>4.833333333333333</v>
      </c>
      <c r="I19" s="369">
        <v>7</v>
      </c>
      <c r="J19" s="369">
        <v>64.011811023622045</v>
      </c>
      <c r="K19" s="303"/>
      <c r="L19" s="59"/>
    </row>
    <row r="20" spans="3:12" x14ac:dyDescent="0.2">
      <c r="C20" s="189">
        <v>7</v>
      </c>
      <c r="D20" s="189">
        <v>1649200691</v>
      </c>
      <c r="E20" s="189" t="s">
        <v>198</v>
      </c>
      <c r="F20" s="251">
        <v>0</v>
      </c>
      <c r="G20" s="251">
        <v>0</v>
      </c>
      <c r="H20" s="251">
        <f t="shared" si="3"/>
        <v>0</v>
      </c>
      <c r="I20" s="251">
        <v>0</v>
      </c>
      <c r="J20" s="251"/>
      <c r="K20" s="304"/>
    </row>
    <row r="21" spans="3:12" ht="15" x14ac:dyDescent="0.25">
      <c r="C21" s="338"/>
      <c r="D21" s="416" t="s">
        <v>419</v>
      </c>
      <c r="E21" s="416"/>
      <c r="F21" s="348">
        <f t="shared" ref="F21:G21" si="4">SUM(F14:F20)</f>
        <v>12878</v>
      </c>
      <c r="G21" s="348">
        <f t="shared" si="4"/>
        <v>14732</v>
      </c>
      <c r="H21" s="348">
        <f t="shared" si="3"/>
        <v>1227.6666666666667</v>
      </c>
      <c r="I21" s="348">
        <f>SUM(I14:I20)</f>
        <v>1462</v>
      </c>
      <c r="J21" s="348">
        <f>SUM(J14:J20)</f>
        <v>17259.000000000004</v>
      </c>
      <c r="K21" s="305"/>
    </row>
    <row r="23" spans="3:12" ht="20.25" x14ac:dyDescent="0.3">
      <c r="D23" s="32"/>
      <c r="E23" s="32"/>
    </row>
  </sheetData>
  <mergeCells count="4">
    <mergeCell ref="D8:E8"/>
    <mergeCell ref="D21:E21"/>
    <mergeCell ref="E2:J2"/>
    <mergeCell ref="E11:J11"/>
  </mergeCells>
  <pageMargins left="0.70866141732283472" right="0.70866141732283472" top="0.74803149606299213" bottom="0.47244094488188981" header="0.31496062992125984" footer="0.31496062992125984"/>
  <pageSetup paperSize="9" scale="80" firstPageNumber="26" orientation="portrait" useFirstPageNumber="1" r:id="rId1"/>
  <headerFooter>
    <oddFooter>עמוד &amp;P</oddFooter>
  </headerFooter>
  <ignoredErrors>
    <ignoredError sqref="H2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1"/>
  <dimension ref="A2:H85"/>
  <sheetViews>
    <sheetView rightToLeft="1" topLeftCell="A68" zoomScale="110" zoomScaleNormal="110" zoomScaleSheetLayoutView="76" workbookViewId="0">
      <selection activeCell="D80" sqref="D80"/>
    </sheetView>
  </sheetViews>
  <sheetFormatPr defaultRowHeight="14.25" x14ac:dyDescent="0.2"/>
  <cols>
    <col min="1" max="1" width="4.5" customWidth="1"/>
    <col min="2" max="2" width="11.375" bestFit="1" customWidth="1"/>
    <col min="3" max="3" width="35" style="23" customWidth="1"/>
    <col min="4" max="4" width="18.25" customWidth="1"/>
    <col min="5" max="5" width="14.25" customWidth="1"/>
    <col min="6" max="7" width="9.625" bestFit="1" customWidth="1"/>
    <col min="8" max="8" width="10" bestFit="1" customWidth="1"/>
  </cols>
  <sheetData>
    <row r="2" spans="1:8" ht="21" customHeight="1" x14ac:dyDescent="0.2">
      <c r="B2" s="7">
        <v>750</v>
      </c>
      <c r="C2" s="436" t="s">
        <v>446</v>
      </c>
      <c r="D2" s="436"/>
      <c r="E2" s="436"/>
      <c r="F2" s="436"/>
      <c r="G2" s="436"/>
      <c r="H2" s="436"/>
    </row>
    <row r="3" spans="1:8" x14ac:dyDescent="0.2">
      <c r="B3" s="16"/>
      <c r="C3" s="27"/>
    </row>
    <row r="4" spans="1:8" s="124" customFormat="1" ht="63" x14ac:dyDescent="0.2">
      <c r="A4" s="328" t="s">
        <v>599</v>
      </c>
      <c r="B4" s="329" t="s">
        <v>0</v>
      </c>
      <c r="C4" s="330" t="s">
        <v>1</v>
      </c>
      <c r="D4" s="330" t="s">
        <v>1159</v>
      </c>
      <c r="E4" s="330" t="s">
        <v>1156</v>
      </c>
      <c r="F4" s="331" t="s">
        <v>1160</v>
      </c>
      <c r="G4" s="331" t="s">
        <v>1161</v>
      </c>
      <c r="H4" s="331" t="s">
        <v>1162</v>
      </c>
    </row>
    <row r="5" spans="1:8" s="243" customFormat="1" ht="27.6" customHeight="1" x14ac:dyDescent="0.2">
      <c r="A5" s="189">
        <v>1</v>
      </c>
      <c r="B5" s="248">
        <v>1613000750</v>
      </c>
      <c r="C5" s="200" t="s">
        <v>447</v>
      </c>
      <c r="D5" s="260">
        <v>87</v>
      </c>
      <c r="E5" s="260">
        <v>87</v>
      </c>
      <c r="F5" s="260">
        <f>E5/12</f>
        <v>7.25</v>
      </c>
      <c r="G5" s="260">
        <v>21</v>
      </c>
      <c r="H5" s="260">
        <f>E5</f>
        <v>87</v>
      </c>
    </row>
    <row r="6" spans="1:8" s="243" customFormat="1" ht="28.5" x14ac:dyDescent="0.2">
      <c r="A6" s="189">
        <v>2</v>
      </c>
      <c r="B6" s="248">
        <v>1621000750</v>
      </c>
      <c r="C6" s="200" t="s">
        <v>448</v>
      </c>
      <c r="D6" s="260">
        <f>35+(1.5*12)+80+(12*6)</f>
        <v>205</v>
      </c>
      <c r="E6" s="260">
        <f>30+(12*1.5)+(12*11)</f>
        <v>180</v>
      </c>
      <c r="F6" s="260">
        <f t="shared" ref="F6:F26" si="0">E6/12</f>
        <v>15</v>
      </c>
      <c r="G6" s="260">
        <v>23</v>
      </c>
      <c r="H6" s="260">
        <f t="shared" ref="H6:H10" si="1">E6</f>
        <v>180</v>
      </c>
    </row>
    <row r="7" spans="1:8" s="243" customFormat="1" ht="28.5" x14ac:dyDescent="0.2">
      <c r="A7" s="189">
        <v>3</v>
      </c>
      <c r="B7" s="248">
        <v>1623000750</v>
      </c>
      <c r="C7" s="200" t="s">
        <v>449</v>
      </c>
      <c r="D7" s="260">
        <v>1100</v>
      </c>
      <c r="E7" s="260">
        <v>500</v>
      </c>
      <c r="F7" s="260">
        <f t="shared" si="0"/>
        <v>41.666666666666664</v>
      </c>
      <c r="G7" s="260">
        <v>150</v>
      </c>
      <c r="H7" s="260">
        <v>400</v>
      </c>
    </row>
    <row r="8" spans="1:8" s="243" customFormat="1" x14ac:dyDescent="0.2">
      <c r="A8" s="189">
        <v>4</v>
      </c>
      <c r="B8" s="248">
        <v>1623100750</v>
      </c>
      <c r="C8" s="200" t="s">
        <v>450</v>
      </c>
      <c r="D8" s="260">
        <v>44</v>
      </c>
      <c r="E8" s="260">
        <v>50</v>
      </c>
      <c r="F8" s="260">
        <f t="shared" si="0"/>
        <v>4.166666666666667</v>
      </c>
      <c r="G8" s="260">
        <v>13</v>
      </c>
      <c r="H8" s="260">
        <f t="shared" si="1"/>
        <v>50</v>
      </c>
    </row>
    <row r="9" spans="1:8" s="243" customFormat="1" x14ac:dyDescent="0.2">
      <c r="A9" s="189">
        <v>5</v>
      </c>
      <c r="B9" s="248">
        <v>1623200750</v>
      </c>
      <c r="C9" s="200" t="s">
        <v>521</v>
      </c>
      <c r="D9" s="260">
        <v>17</v>
      </c>
      <c r="E9" s="260">
        <v>17</v>
      </c>
      <c r="F9" s="260">
        <f t="shared" si="0"/>
        <v>1.4166666666666667</v>
      </c>
      <c r="G9" s="260">
        <v>3</v>
      </c>
      <c r="H9" s="260">
        <f t="shared" si="1"/>
        <v>17</v>
      </c>
    </row>
    <row r="10" spans="1:8" s="243" customFormat="1" x14ac:dyDescent="0.2">
      <c r="A10" s="189">
        <v>6</v>
      </c>
      <c r="B10" s="248">
        <v>1623300750</v>
      </c>
      <c r="C10" s="200" t="s">
        <v>522</v>
      </c>
      <c r="D10" s="260">
        <v>10</v>
      </c>
      <c r="E10" s="260">
        <v>10</v>
      </c>
      <c r="F10" s="260">
        <f t="shared" si="0"/>
        <v>0.83333333333333337</v>
      </c>
      <c r="G10" s="260">
        <v>3</v>
      </c>
      <c r="H10" s="260">
        <f t="shared" si="1"/>
        <v>10</v>
      </c>
    </row>
    <row r="11" spans="1:8" s="243" customFormat="1" ht="28.5" x14ac:dyDescent="0.2">
      <c r="A11" s="189">
        <v>7</v>
      </c>
      <c r="B11" s="248">
        <v>1712200750</v>
      </c>
      <c r="C11" s="200" t="s">
        <v>1140</v>
      </c>
      <c r="D11" s="251">
        <v>10940</v>
      </c>
      <c r="E11" s="251">
        <v>10940</v>
      </c>
      <c r="F11" s="260">
        <f t="shared" si="0"/>
        <v>911.66666666666663</v>
      </c>
      <c r="G11" s="251">
        <v>757</v>
      </c>
      <c r="H11" s="260">
        <v>11150</v>
      </c>
    </row>
    <row r="12" spans="1:8" s="243" customFormat="1" x14ac:dyDescent="0.2">
      <c r="A12" s="189">
        <v>8</v>
      </c>
      <c r="B12" s="248">
        <v>1712220750</v>
      </c>
      <c r="C12" s="200" t="s">
        <v>885</v>
      </c>
      <c r="D12" s="260">
        <f>328+45*6-100</f>
        <v>498</v>
      </c>
      <c r="E12" s="292">
        <v>578</v>
      </c>
      <c r="F12" s="260">
        <f t="shared" si="0"/>
        <v>48.166666666666664</v>
      </c>
      <c r="G12" s="260">
        <v>79</v>
      </c>
      <c r="H12" s="260">
        <f>D12+15*12-100+100+50</f>
        <v>728</v>
      </c>
    </row>
    <row r="13" spans="1:8" s="243" customFormat="1" x14ac:dyDescent="0.2">
      <c r="A13" s="189">
        <v>9</v>
      </c>
      <c r="B13" s="248">
        <v>1712320750</v>
      </c>
      <c r="C13" s="200" t="s">
        <v>516</v>
      </c>
      <c r="D13" s="260">
        <v>0</v>
      </c>
      <c r="E13" s="260">
        <v>0</v>
      </c>
      <c r="F13" s="260">
        <f t="shared" si="0"/>
        <v>0</v>
      </c>
      <c r="G13" s="260">
        <v>0</v>
      </c>
      <c r="H13" s="260">
        <f>E13</f>
        <v>0</v>
      </c>
    </row>
    <row r="14" spans="1:8" s="243" customFormat="1" x14ac:dyDescent="0.2">
      <c r="A14" s="189">
        <v>10</v>
      </c>
      <c r="B14" s="248">
        <v>1712420750</v>
      </c>
      <c r="C14" s="200" t="s">
        <v>1212</v>
      </c>
      <c r="D14" s="323"/>
      <c r="E14" s="260"/>
      <c r="F14" s="260"/>
      <c r="G14" s="260"/>
      <c r="H14" s="260">
        <v>110</v>
      </c>
    </row>
    <row r="15" spans="1:8" s="243" customFormat="1" x14ac:dyDescent="0.2">
      <c r="A15" s="189">
        <v>11</v>
      </c>
      <c r="B15" s="248">
        <v>1714200750</v>
      </c>
      <c r="C15" s="200" t="s">
        <v>1084</v>
      </c>
      <c r="D15" s="293">
        <v>267</v>
      </c>
      <c r="E15" s="260">
        <v>267</v>
      </c>
      <c r="F15" s="260">
        <f t="shared" si="0"/>
        <v>22.25</v>
      </c>
      <c r="G15" s="260">
        <v>20</v>
      </c>
      <c r="H15" s="260">
        <f t="shared" ref="H15:H22" si="2">E15</f>
        <v>267</v>
      </c>
    </row>
    <row r="16" spans="1:8" s="243" customFormat="1" x14ac:dyDescent="0.2">
      <c r="A16" s="189">
        <v>12</v>
      </c>
      <c r="B16" s="248">
        <v>1715300750</v>
      </c>
      <c r="C16" s="200" t="s">
        <v>955</v>
      </c>
      <c r="D16" s="260">
        <v>60</v>
      </c>
      <c r="E16" s="260">
        <v>60</v>
      </c>
      <c r="F16" s="260">
        <f t="shared" si="0"/>
        <v>5</v>
      </c>
      <c r="G16" s="260">
        <v>6</v>
      </c>
      <c r="H16" s="260">
        <v>50</v>
      </c>
    </row>
    <row r="17" spans="1:8" s="243" customFormat="1" x14ac:dyDescent="0.2">
      <c r="A17" s="189">
        <v>13</v>
      </c>
      <c r="B17" s="248">
        <v>1726200750</v>
      </c>
      <c r="C17" s="200" t="s">
        <v>226</v>
      </c>
      <c r="D17" s="260">
        <v>12</v>
      </c>
      <c r="E17" s="260">
        <v>12</v>
      </c>
      <c r="F17" s="260">
        <f t="shared" si="0"/>
        <v>1</v>
      </c>
      <c r="G17" s="260">
        <v>0</v>
      </c>
      <c r="H17" s="260">
        <f t="shared" si="2"/>
        <v>12</v>
      </c>
    </row>
    <row r="18" spans="1:8" s="243" customFormat="1" x14ac:dyDescent="0.2">
      <c r="A18" s="189">
        <v>14</v>
      </c>
      <c r="B18" s="248">
        <v>1744100750</v>
      </c>
      <c r="C18" s="200" t="s">
        <v>239</v>
      </c>
      <c r="D18" s="260">
        <v>100</v>
      </c>
      <c r="E18" s="260">
        <v>100</v>
      </c>
      <c r="F18" s="260">
        <f t="shared" si="0"/>
        <v>8.3333333333333339</v>
      </c>
      <c r="G18" s="260">
        <v>0</v>
      </c>
      <c r="H18" s="260">
        <v>80</v>
      </c>
    </row>
    <row r="19" spans="1:8" s="243" customFormat="1" ht="28.5" x14ac:dyDescent="0.2">
      <c r="A19" s="189">
        <v>15</v>
      </c>
      <c r="B19" s="248">
        <v>1746000750</v>
      </c>
      <c r="C19" s="200" t="s">
        <v>1061</v>
      </c>
      <c r="D19" s="251">
        <v>5500</v>
      </c>
      <c r="E19" s="251">
        <v>5500</v>
      </c>
      <c r="F19" s="260">
        <f t="shared" si="0"/>
        <v>458.33333333333331</v>
      </c>
      <c r="G19" s="251">
        <v>93</v>
      </c>
      <c r="H19" s="260">
        <f t="shared" si="2"/>
        <v>5500</v>
      </c>
    </row>
    <row r="20" spans="1:8" s="243" customFormat="1" x14ac:dyDescent="0.2">
      <c r="A20" s="189">
        <v>16</v>
      </c>
      <c r="B20" s="248">
        <v>1772000750</v>
      </c>
      <c r="C20" s="200" t="s">
        <v>1217</v>
      </c>
      <c r="D20" s="251"/>
      <c r="E20" s="251"/>
      <c r="F20" s="260"/>
      <c r="G20" s="251"/>
      <c r="H20" s="260">
        <v>48</v>
      </c>
    </row>
    <row r="21" spans="1:8" s="243" customFormat="1" x14ac:dyDescent="0.2">
      <c r="A21" s="189">
        <v>17</v>
      </c>
      <c r="B21" s="248">
        <v>1811000750</v>
      </c>
      <c r="C21" s="200" t="s">
        <v>212</v>
      </c>
      <c r="D21" s="251">
        <v>2450</v>
      </c>
      <c r="E21" s="251">
        <v>2450</v>
      </c>
      <c r="F21" s="260">
        <f t="shared" si="0"/>
        <v>204.16666666666666</v>
      </c>
      <c r="G21" s="251">
        <v>0</v>
      </c>
      <c r="H21" s="260">
        <f>E21-48</f>
        <v>2402</v>
      </c>
    </row>
    <row r="22" spans="1:8" s="243" customFormat="1" ht="25.15" customHeight="1" x14ac:dyDescent="0.2">
      <c r="A22" s="189">
        <v>18</v>
      </c>
      <c r="B22" s="248">
        <v>1812400750</v>
      </c>
      <c r="C22" s="281" t="s">
        <v>882</v>
      </c>
      <c r="D22" s="251">
        <v>580</v>
      </c>
      <c r="E22" s="251">
        <v>580</v>
      </c>
      <c r="F22" s="260">
        <f t="shared" si="0"/>
        <v>48.333333333333336</v>
      </c>
      <c r="G22" s="251">
        <v>12</v>
      </c>
      <c r="H22" s="260">
        <f t="shared" si="2"/>
        <v>580</v>
      </c>
    </row>
    <row r="23" spans="1:8" s="243" customFormat="1" x14ac:dyDescent="0.2">
      <c r="A23" s="189">
        <v>19</v>
      </c>
      <c r="B23" s="248">
        <v>1812440750</v>
      </c>
      <c r="C23" s="200" t="s">
        <v>1103</v>
      </c>
      <c r="D23" s="251">
        <v>900</v>
      </c>
      <c r="E23" s="292">
        <v>900</v>
      </c>
      <c r="F23" s="260">
        <f t="shared" si="0"/>
        <v>75</v>
      </c>
      <c r="G23" s="251">
        <v>149</v>
      </c>
      <c r="H23" s="251">
        <v>800</v>
      </c>
    </row>
    <row r="24" spans="1:8" s="243" customFormat="1" x14ac:dyDescent="0.2">
      <c r="A24" s="189">
        <v>20</v>
      </c>
      <c r="B24" s="248">
        <v>1812441750</v>
      </c>
      <c r="C24" s="200" t="s">
        <v>886</v>
      </c>
      <c r="D24" s="251">
        <v>1000</v>
      </c>
      <c r="E24" s="251">
        <v>1000</v>
      </c>
      <c r="F24" s="260">
        <f t="shared" si="0"/>
        <v>83.333333333333329</v>
      </c>
      <c r="G24" s="251">
        <v>190</v>
      </c>
      <c r="H24" s="260">
        <f>E24</f>
        <v>1000</v>
      </c>
    </row>
    <row r="25" spans="1:8" s="243" customFormat="1" x14ac:dyDescent="0.2">
      <c r="A25" s="189">
        <v>21</v>
      </c>
      <c r="B25" s="248">
        <v>1817900750</v>
      </c>
      <c r="C25" s="200" t="s">
        <v>451</v>
      </c>
      <c r="D25" s="251">
        <v>3000</v>
      </c>
      <c r="E25" s="251">
        <v>3000</v>
      </c>
      <c r="F25" s="260">
        <f t="shared" si="0"/>
        <v>250</v>
      </c>
      <c r="G25" s="251">
        <v>111</v>
      </c>
      <c r="H25" s="260">
        <f t="shared" ref="H25:H26" si="3">E25</f>
        <v>3000</v>
      </c>
    </row>
    <row r="26" spans="1:8" s="243" customFormat="1" ht="15" customHeight="1" x14ac:dyDescent="0.2">
      <c r="A26" s="189">
        <v>22</v>
      </c>
      <c r="B26" s="243">
        <v>1826400750</v>
      </c>
      <c r="C26" s="252" t="s">
        <v>452</v>
      </c>
      <c r="D26" s="251">
        <f>3372-443-1543</f>
        <v>1386</v>
      </c>
      <c r="E26" s="251">
        <v>1500</v>
      </c>
      <c r="F26" s="260">
        <f t="shared" si="0"/>
        <v>125</v>
      </c>
      <c r="G26" s="251">
        <v>44</v>
      </c>
      <c r="H26" s="260">
        <f t="shared" si="3"/>
        <v>1500</v>
      </c>
    </row>
    <row r="27" spans="1:8" ht="15" x14ac:dyDescent="0.25">
      <c r="A27" s="332"/>
      <c r="B27" s="450" t="s">
        <v>419</v>
      </c>
      <c r="C27" s="451"/>
      <c r="D27" s="333">
        <f>SUM(D5:D26)</f>
        <v>28156</v>
      </c>
      <c r="E27" s="333">
        <f>SUM(E5:E26)</f>
        <v>27731</v>
      </c>
      <c r="F27" s="333">
        <f>SUM(F5:F26)</f>
        <v>2310.9166666666665</v>
      </c>
      <c r="G27" s="333">
        <f>SUM(G5:G26)</f>
        <v>1674</v>
      </c>
      <c r="H27" s="333">
        <f>SUM(H5:H26)</f>
        <v>27971</v>
      </c>
    </row>
    <row r="29" spans="1:8" ht="18" x14ac:dyDescent="0.25">
      <c r="B29" s="17">
        <v>760</v>
      </c>
      <c r="C29"/>
    </row>
    <row r="31" spans="1:8" ht="63" x14ac:dyDescent="0.25">
      <c r="A31" s="73" t="s">
        <v>599</v>
      </c>
      <c r="B31" s="75" t="s">
        <v>0</v>
      </c>
      <c r="C31" s="77" t="s">
        <v>1</v>
      </c>
      <c r="D31" s="113" t="s">
        <v>1159</v>
      </c>
      <c r="E31" s="113" t="s">
        <v>1156</v>
      </c>
      <c r="F31" s="175" t="s">
        <v>1160</v>
      </c>
      <c r="G31" s="175" t="s">
        <v>1161</v>
      </c>
      <c r="H31" s="175" t="s">
        <v>1162</v>
      </c>
    </row>
    <row r="32" spans="1:8" x14ac:dyDescent="0.2">
      <c r="A32" s="3">
        <v>1</v>
      </c>
      <c r="B32" s="19">
        <v>1813300760</v>
      </c>
      <c r="C32" s="99" t="s">
        <v>883</v>
      </c>
      <c r="D32" s="25">
        <v>850</v>
      </c>
      <c r="E32" s="185">
        <v>600</v>
      </c>
      <c r="F32" s="185">
        <f>E32/12</f>
        <v>50</v>
      </c>
      <c r="G32" s="214">
        <v>17</v>
      </c>
      <c r="H32" s="326">
        <v>650</v>
      </c>
    </row>
    <row r="33" spans="1:8" ht="15" x14ac:dyDescent="0.25">
      <c r="A33" s="77"/>
      <c r="B33" s="452" t="s">
        <v>419</v>
      </c>
      <c r="C33" s="453"/>
      <c r="D33" s="153">
        <f t="shared" ref="D33:E33" si="4">SUM(D32)</f>
        <v>850</v>
      </c>
      <c r="E33" s="178">
        <f t="shared" si="4"/>
        <v>600</v>
      </c>
      <c r="F33" s="178">
        <f>SUM(F32)</f>
        <v>50</v>
      </c>
      <c r="G33" s="282">
        <f>SUM(G32)</f>
        <v>17</v>
      </c>
      <c r="H33" s="178">
        <f>SUM(H32)</f>
        <v>650</v>
      </c>
    </row>
    <row r="35" spans="1:8" ht="23.25" x14ac:dyDescent="0.25">
      <c r="B35" s="17">
        <v>781</v>
      </c>
      <c r="C35" s="436" t="s">
        <v>888</v>
      </c>
      <c r="D35" s="436"/>
      <c r="E35" s="436"/>
      <c r="F35" s="436"/>
      <c r="G35" s="436"/>
      <c r="H35" s="436"/>
    </row>
    <row r="37" spans="1:8" s="124" customFormat="1" ht="63" x14ac:dyDescent="0.2">
      <c r="A37" s="328" t="s">
        <v>599</v>
      </c>
      <c r="B37" s="328" t="s">
        <v>0</v>
      </c>
      <c r="C37" s="330" t="s">
        <v>1</v>
      </c>
      <c r="D37" s="330" t="s">
        <v>1159</v>
      </c>
      <c r="E37" s="330" t="s">
        <v>1156</v>
      </c>
      <c r="F37" s="331" t="s">
        <v>1160</v>
      </c>
      <c r="G37" s="331" t="s">
        <v>1161</v>
      </c>
      <c r="H37" s="331" t="s">
        <v>1162</v>
      </c>
    </row>
    <row r="38" spans="1:8" x14ac:dyDescent="0.2">
      <c r="A38" s="261">
        <v>1</v>
      </c>
      <c r="B38" s="261">
        <v>1772000781</v>
      </c>
      <c r="C38" s="258" t="s">
        <v>257</v>
      </c>
      <c r="D38" s="364">
        <v>88.5</v>
      </c>
      <c r="E38" s="189">
        <v>309</v>
      </c>
      <c r="F38" s="253">
        <f>E38/12</f>
        <v>25.75</v>
      </c>
      <c r="G38" s="189">
        <v>0</v>
      </c>
      <c r="H38" s="189">
        <v>150</v>
      </c>
    </row>
    <row r="39" spans="1:8" x14ac:dyDescent="0.2">
      <c r="A39" s="261">
        <v>2</v>
      </c>
      <c r="B39" s="261">
        <v>1772100781</v>
      </c>
      <c r="C39" s="258" t="s">
        <v>259</v>
      </c>
      <c r="D39" s="365">
        <v>120</v>
      </c>
      <c r="E39" s="189">
        <v>120</v>
      </c>
      <c r="F39" s="253">
        <f t="shared" ref="F39:F45" si="5">E39/12</f>
        <v>10</v>
      </c>
      <c r="G39" s="189">
        <v>0</v>
      </c>
      <c r="H39" s="189">
        <f>E39</f>
        <v>120</v>
      </c>
    </row>
    <row r="40" spans="1:8" x14ac:dyDescent="0.2">
      <c r="A40" s="261">
        <v>3</v>
      </c>
      <c r="B40" s="261">
        <v>1772200781</v>
      </c>
      <c r="C40" s="258" t="s">
        <v>260</v>
      </c>
      <c r="D40" s="365">
        <v>2</v>
      </c>
      <c r="E40" s="189">
        <v>200</v>
      </c>
      <c r="F40" s="253">
        <f t="shared" si="5"/>
        <v>16.666666666666668</v>
      </c>
      <c r="G40" s="189">
        <v>76</v>
      </c>
      <c r="H40" s="189">
        <v>120</v>
      </c>
    </row>
    <row r="41" spans="1:8" x14ac:dyDescent="0.2">
      <c r="A41" s="261">
        <v>4</v>
      </c>
      <c r="B41" s="261">
        <v>1772110781</v>
      </c>
      <c r="C41" s="258" t="s">
        <v>891</v>
      </c>
      <c r="D41" s="365">
        <f>'קליקה 9'!D9</f>
        <v>15</v>
      </c>
      <c r="E41" s="189">
        <f>'קליקה 9'!E9</f>
        <v>15</v>
      </c>
      <c r="F41" s="253">
        <f t="shared" si="5"/>
        <v>1.25</v>
      </c>
      <c r="G41" s="189">
        <v>3</v>
      </c>
      <c r="H41" s="189">
        <f t="shared" ref="H41:H44" si="6">E41</f>
        <v>15</v>
      </c>
    </row>
    <row r="42" spans="1:8" x14ac:dyDescent="0.2">
      <c r="A42" s="261">
        <v>5</v>
      </c>
      <c r="B42" s="261">
        <v>1772300781</v>
      </c>
      <c r="C42" s="258" t="s">
        <v>974</v>
      </c>
      <c r="D42" s="365">
        <f>'קליקה 9'!D11</f>
        <v>7</v>
      </c>
      <c r="E42" s="189">
        <f>'קליקה 9'!E11</f>
        <v>7</v>
      </c>
      <c r="F42" s="253">
        <f t="shared" si="5"/>
        <v>0.58333333333333337</v>
      </c>
      <c r="G42" s="189">
        <v>0</v>
      </c>
      <c r="H42" s="253">
        <v>7.7</v>
      </c>
    </row>
    <row r="43" spans="1:8" x14ac:dyDescent="0.2">
      <c r="A43" s="261">
        <v>6</v>
      </c>
      <c r="B43" s="261">
        <v>1772500781</v>
      </c>
      <c r="C43" s="258" t="s">
        <v>893</v>
      </c>
      <c r="D43" s="199">
        <v>0</v>
      </c>
      <c r="E43" s="189">
        <v>0</v>
      </c>
      <c r="F43" s="253">
        <f t="shared" si="5"/>
        <v>0</v>
      </c>
      <c r="G43" s="189">
        <v>0</v>
      </c>
      <c r="H43" s="189">
        <f t="shared" si="6"/>
        <v>0</v>
      </c>
    </row>
    <row r="44" spans="1:8" x14ac:dyDescent="0.2">
      <c r="A44" s="261">
        <v>7</v>
      </c>
      <c r="B44" s="243">
        <v>1772600781</v>
      </c>
      <c r="C44" s="258" t="s">
        <v>1006</v>
      </c>
      <c r="D44" s="199">
        <v>0</v>
      </c>
      <c r="E44" s="189">
        <v>0</v>
      </c>
      <c r="F44" s="253">
        <f t="shared" si="5"/>
        <v>0</v>
      </c>
      <c r="G44" s="189">
        <v>0</v>
      </c>
      <c r="H44" s="189">
        <f t="shared" si="6"/>
        <v>0</v>
      </c>
    </row>
    <row r="45" spans="1:8" ht="15" x14ac:dyDescent="0.25">
      <c r="A45" s="338"/>
      <c r="B45" s="416" t="s">
        <v>453</v>
      </c>
      <c r="C45" s="416"/>
      <c r="D45" s="348">
        <f t="shared" ref="D45:E45" si="7">SUM(D38:D44)</f>
        <v>232.5</v>
      </c>
      <c r="E45" s="348">
        <f t="shared" si="7"/>
        <v>651</v>
      </c>
      <c r="F45" s="348">
        <f t="shared" si="5"/>
        <v>54.25</v>
      </c>
      <c r="G45" s="348">
        <f>SUM(G38:G44)</f>
        <v>79</v>
      </c>
      <c r="H45" s="348">
        <f>SUM(H38:H44)</f>
        <v>412.7</v>
      </c>
    </row>
    <row r="47" spans="1:8" ht="23.45" customHeight="1" x14ac:dyDescent="0.2">
      <c r="B47" s="7">
        <v>800</v>
      </c>
      <c r="C47" s="436" t="s">
        <v>454</v>
      </c>
      <c r="D47" s="436"/>
      <c r="E47" s="436"/>
      <c r="F47" s="436"/>
      <c r="G47" s="436"/>
      <c r="H47" s="436"/>
    </row>
    <row r="49" spans="1:8" ht="63" x14ac:dyDescent="0.25">
      <c r="A49" s="73" t="s">
        <v>599</v>
      </c>
      <c r="B49" s="73" t="s">
        <v>0</v>
      </c>
      <c r="C49" s="77" t="s">
        <v>1</v>
      </c>
      <c r="D49" s="113" t="s">
        <v>1159</v>
      </c>
      <c r="E49" s="113" t="s">
        <v>1156</v>
      </c>
      <c r="F49" s="175" t="s">
        <v>1160</v>
      </c>
      <c r="G49" s="175" t="s">
        <v>1161</v>
      </c>
      <c r="H49" s="175" t="s">
        <v>1162</v>
      </c>
    </row>
    <row r="50" spans="1:8" x14ac:dyDescent="0.2">
      <c r="A50" s="3">
        <v>1</v>
      </c>
      <c r="B50" s="3">
        <v>1611000800</v>
      </c>
      <c r="C50" s="18" t="s">
        <v>455</v>
      </c>
      <c r="D50" s="25">
        <v>35</v>
      </c>
      <c r="E50" s="25">
        <v>35</v>
      </c>
      <c r="F50" s="72">
        <f>E50/12</f>
        <v>2.9166666666666665</v>
      </c>
      <c r="G50" s="25">
        <v>1</v>
      </c>
      <c r="H50" s="25">
        <f>E50</f>
        <v>35</v>
      </c>
    </row>
    <row r="51" spans="1:8" ht="15" x14ac:dyDescent="0.25">
      <c r="A51" s="74"/>
      <c r="B51" s="417" t="s">
        <v>419</v>
      </c>
      <c r="C51" s="417"/>
      <c r="D51" s="105">
        <f>SUM(D50)</f>
        <v>35</v>
      </c>
      <c r="E51" s="105">
        <f>SUM(E50)</f>
        <v>35</v>
      </c>
      <c r="F51" s="105">
        <f>SUM(F50)</f>
        <v>2.9166666666666665</v>
      </c>
      <c r="G51" s="105">
        <f>SUM(G50)</f>
        <v>1</v>
      </c>
      <c r="H51" s="105">
        <f>SUM(H50)</f>
        <v>35</v>
      </c>
    </row>
    <row r="53" spans="1:8" ht="23.25" x14ac:dyDescent="0.2">
      <c r="B53" s="132">
        <v>710</v>
      </c>
      <c r="C53" s="454" t="s">
        <v>291</v>
      </c>
      <c r="D53" s="454"/>
      <c r="E53" s="454"/>
      <c r="F53" s="454"/>
      <c r="G53" s="454"/>
      <c r="H53" s="454"/>
    </row>
    <row r="54" spans="1:8" ht="15" x14ac:dyDescent="0.25">
      <c r="B54" s="12"/>
      <c r="C54" s="71"/>
    </row>
    <row r="55" spans="1:8" ht="63" x14ac:dyDescent="0.25">
      <c r="A55" s="73" t="s">
        <v>596</v>
      </c>
      <c r="B55" s="73" t="s">
        <v>0</v>
      </c>
      <c r="C55" s="76" t="s">
        <v>1</v>
      </c>
      <c r="D55" s="113" t="s">
        <v>1159</v>
      </c>
      <c r="E55" s="113" t="s">
        <v>1156</v>
      </c>
      <c r="F55" s="175" t="s">
        <v>1160</v>
      </c>
      <c r="G55" s="175" t="s">
        <v>1161</v>
      </c>
      <c r="H55" s="175" t="s">
        <v>1162</v>
      </c>
    </row>
    <row r="56" spans="1:8" x14ac:dyDescent="0.2">
      <c r="A56" s="3">
        <v>1</v>
      </c>
      <c r="B56" s="3">
        <v>1817800710</v>
      </c>
      <c r="C56" s="3" t="s">
        <v>291</v>
      </c>
      <c r="D56" s="70">
        <v>6800</v>
      </c>
      <c r="E56" s="70">
        <v>7100</v>
      </c>
      <c r="F56" s="70">
        <f>E56/12</f>
        <v>591.66666666666663</v>
      </c>
      <c r="G56" s="156">
        <v>0</v>
      </c>
      <c r="H56" s="256">
        <v>7000</v>
      </c>
    </row>
    <row r="57" spans="1:8" x14ac:dyDescent="0.2">
      <c r="A57" s="3">
        <v>2</v>
      </c>
      <c r="B57" s="3">
        <v>1817810710</v>
      </c>
      <c r="C57" s="3" t="s">
        <v>902</v>
      </c>
      <c r="D57" s="70">
        <v>220</v>
      </c>
      <c r="E57" s="70">
        <v>200</v>
      </c>
      <c r="F57" s="70">
        <f t="shared" ref="F57:F58" si="8">E57/12</f>
        <v>16.666666666666668</v>
      </c>
      <c r="G57" s="70">
        <v>19</v>
      </c>
      <c r="H57" s="256">
        <v>250</v>
      </c>
    </row>
    <row r="58" spans="1:8" ht="15" x14ac:dyDescent="0.25">
      <c r="A58" s="74"/>
      <c r="B58" s="417" t="s">
        <v>419</v>
      </c>
      <c r="C58" s="417"/>
      <c r="D58" s="106">
        <f t="shared" ref="D58:E58" si="9">SUM(D56:D57)</f>
        <v>7020</v>
      </c>
      <c r="E58" s="106">
        <f t="shared" si="9"/>
        <v>7300</v>
      </c>
      <c r="F58" s="106">
        <f t="shared" si="8"/>
        <v>608.33333333333337</v>
      </c>
      <c r="G58" s="106">
        <f>SUM(G56:G57)</f>
        <v>19</v>
      </c>
      <c r="H58" s="106">
        <f>SUM(H56:H57)</f>
        <v>7250</v>
      </c>
    </row>
    <row r="60" spans="1:8" ht="23.25" x14ac:dyDescent="0.35">
      <c r="B60" s="210">
        <v>830</v>
      </c>
      <c r="C60" s="449" t="s">
        <v>1125</v>
      </c>
      <c r="D60" s="449"/>
      <c r="E60" s="449"/>
      <c r="F60" s="449"/>
      <c r="G60" s="449"/>
      <c r="H60" s="449"/>
    </row>
    <row r="61" spans="1:8" ht="23.25" x14ac:dyDescent="0.2">
      <c r="C61" s="263"/>
      <c r="D61" s="263"/>
      <c r="E61" s="263"/>
      <c r="F61" s="209"/>
      <c r="G61" s="209"/>
      <c r="H61" s="209"/>
    </row>
    <row r="62" spans="1:8" ht="63" x14ac:dyDescent="0.25">
      <c r="A62" s="73" t="s">
        <v>598</v>
      </c>
      <c r="B62" s="73" t="s">
        <v>0</v>
      </c>
      <c r="C62" s="76" t="s">
        <v>1</v>
      </c>
      <c r="D62" s="113" t="s">
        <v>1159</v>
      </c>
      <c r="E62" s="113" t="s">
        <v>1156</v>
      </c>
      <c r="F62" s="175" t="s">
        <v>1160</v>
      </c>
      <c r="G62" s="175" t="s">
        <v>1161</v>
      </c>
      <c r="H62" s="175" t="s">
        <v>1162</v>
      </c>
    </row>
    <row r="63" spans="1:8" x14ac:dyDescent="0.2">
      <c r="A63" s="3">
        <v>1</v>
      </c>
      <c r="B63" s="3">
        <v>1813200830</v>
      </c>
      <c r="C63" s="3" t="s">
        <v>1126</v>
      </c>
      <c r="D63" s="70">
        <f>20*12+68</f>
        <v>308</v>
      </c>
      <c r="E63" s="70">
        <v>310</v>
      </c>
      <c r="F63" s="156">
        <v>0</v>
      </c>
      <c r="G63" s="156">
        <v>0</v>
      </c>
      <c r="H63" s="327">
        <v>0</v>
      </c>
    </row>
    <row r="64" spans="1:8" ht="15" x14ac:dyDescent="0.25">
      <c r="A64" s="74"/>
      <c r="B64" s="417" t="str">
        <f>B58</f>
        <v>סה"כ</v>
      </c>
      <c r="C64" s="417"/>
      <c r="D64" s="106">
        <f t="shared" ref="D64:E64" si="10">SUM(D63)</f>
        <v>308</v>
      </c>
      <c r="E64" s="106">
        <f t="shared" si="10"/>
        <v>310</v>
      </c>
      <c r="F64" s="106">
        <f>SUM(F63)</f>
        <v>0</v>
      </c>
      <c r="G64" s="233">
        <f>SUM(G63)</f>
        <v>0</v>
      </c>
      <c r="H64" s="233">
        <f>SUM(H63)</f>
        <v>0</v>
      </c>
    </row>
    <row r="67" spans="1:8" ht="23.25" x14ac:dyDescent="0.35">
      <c r="B67" s="210">
        <v>960</v>
      </c>
      <c r="C67" s="449" t="s">
        <v>1176</v>
      </c>
      <c r="D67" s="449"/>
      <c r="E67" s="449"/>
      <c r="F67" s="449"/>
      <c r="G67" s="449"/>
      <c r="H67" s="449"/>
    </row>
    <row r="68" spans="1:8" ht="23.25" x14ac:dyDescent="0.2">
      <c r="C68" s="263"/>
      <c r="D68" s="263"/>
      <c r="E68" s="263"/>
      <c r="F68" s="209"/>
      <c r="G68" s="209"/>
      <c r="H68" s="209"/>
    </row>
    <row r="69" spans="1:8" ht="63" x14ac:dyDescent="0.25">
      <c r="A69" s="73" t="s">
        <v>598</v>
      </c>
      <c r="B69" s="73" t="s">
        <v>0</v>
      </c>
      <c r="C69" s="76" t="s">
        <v>1</v>
      </c>
      <c r="D69" s="113" t="s">
        <v>1159</v>
      </c>
      <c r="E69" s="113" t="s">
        <v>1156</v>
      </c>
      <c r="F69" s="175" t="s">
        <v>1160</v>
      </c>
      <c r="G69" s="175" t="s">
        <v>1161</v>
      </c>
      <c r="H69" s="175" t="s">
        <v>1162</v>
      </c>
    </row>
    <row r="70" spans="1:8" x14ac:dyDescent="0.2">
      <c r="A70" s="3">
        <v>1</v>
      </c>
      <c r="B70" s="3">
        <v>1994000960</v>
      </c>
      <c r="C70" s="3" t="s">
        <v>417</v>
      </c>
      <c r="D70" s="70">
        <v>100</v>
      </c>
      <c r="E70" s="70">
        <v>100</v>
      </c>
      <c r="F70" s="70">
        <f>E70/12</f>
        <v>8.3333333333333339</v>
      </c>
      <c r="G70" s="156">
        <v>0</v>
      </c>
      <c r="H70" s="70">
        <f>E70</f>
        <v>100</v>
      </c>
    </row>
    <row r="71" spans="1:8" x14ac:dyDescent="0.2">
      <c r="A71" s="3">
        <v>2</v>
      </c>
      <c r="B71" s="3">
        <v>1994100960</v>
      </c>
      <c r="C71" s="3" t="s">
        <v>1177</v>
      </c>
      <c r="D71" s="156">
        <v>0</v>
      </c>
      <c r="E71" s="70">
        <v>100</v>
      </c>
      <c r="F71" s="70">
        <f>E71/12</f>
        <v>8.3333333333333339</v>
      </c>
      <c r="G71" s="156">
        <v>0</v>
      </c>
      <c r="H71" s="70">
        <f>E71</f>
        <v>100</v>
      </c>
    </row>
    <row r="72" spans="1:8" ht="15" x14ac:dyDescent="0.25">
      <c r="A72" s="74"/>
      <c r="B72" s="417" t="s">
        <v>419</v>
      </c>
      <c r="C72" s="417"/>
      <c r="D72" s="106">
        <f t="shared" ref="D72:E72" si="11">SUM(D70)</f>
        <v>100</v>
      </c>
      <c r="E72" s="106">
        <f t="shared" si="11"/>
        <v>100</v>
      </c>
      <c r="F72" s="106">
        <f>SUM(F70)</f>
        <v>8.3333333333333339</v>
      </c>
      <c r="G72" s="233">
        <f>SUM(G70)</f>
        <v>0</v>
      </c>
      <c r="H72" s="233">
        <f>SUM(H70)</f>
        <v>100</v>
      </c>
    </row>
    <row r="74" spans="1:8" ht="23.25" x14ac:dyDescent="0.35">
      <c r="B74" s="210">
        <v>970</v>
      </c>
      <c r="C74" s="449" t="s">
        <v>1178</v>
      </c>
      <c r="D74" s="449"/>
      <c r="E74" s="449"/>
      <c r="F74" s="449"/>
      <c r="G74" s="449"/>
      <c r="H74" s="449"/>
    </row>
    <row r="75" spans="1:8" ht="23.25" x14ac:dyDescent="0.2">
      <c r="C75" s="263"/>
      <c r="D75" s="263"/>
      <c r="E75" s="263"/>
      <c r="F75" s="209"/>
      <c r="G75" s="209"/>
      <c r="H75" s="209"/>
    </row>
    <row r="76" spans="1:8" ht="63" x14ac:dyDescent="0.25">
      <c r="A76" s="73" t="s">
        <v>598</v>
      </c>
      <c r="B76" s="73" t="s">
        <v>0</v>
      </c>
      <c r="C76" s="76" t="s">
        <v>1</v>
      </c>
      <c r="D76" s="113" t="s">
        <v>1159</v>
      </c>
      <c r="E76" s="113" t="s">
        <v>1156</v>
      </c>
      <c r="F76" s="175" t="s">
        <v>1160</v>
      </c>
      <c r="G76" s="175" t="s">
        <v>1161</v>
      </c>
      <c r="H76" s="175" t="s">
        <v>1162</v>
      </c>
    </row>
    <row r="77" spans="1:8" x14ac:dyDescent="0.2">
      <c r="A77" s="3">
        <v>1</v>
      </c>
      <c r="B77" s="3">
        <v>1613000970</v>
      </c>
      <c r="C77" s="3" t="s">
        <v>845</v>
      </c>
      <c r="D77" s="70">
        <v>20</v>
      </c>
      <c r="E77" s="70">
        <v>20</v>
      </c>
      <c r="F77" s="70">
        <f>E77/12</f>
        <v>1.6666666666666667</v>
      </c>
      <c r="G77" s="156">
        <v>5</v>
      </c>
      <c r="H77" s="70">
        <f>E77</f>
        <v>20</v>
      </c>
    </row>
    <row r="78" spans="1:8" ht="15" x14ac:dyDescent="0.25">
      <c r="A78" s="74"/>
      <c r="B78" s="417" t="str">
        <f>B72</f>
        <v>סה"כ</v>
      </c>
      <c r="C78" s="417"/>
      <c r="D78" s="106">
        <f t="shared" ref="D78:E78" si="12">SUM(D77)</f>
        <v>20</v>
      </c>
      <c r="E78" s="106">
        <f t="shared" si="12"/>
        <v>20</v>
      </c>
      <c r="F78" s="106">
        <f>SUM(F77)</f>
        <v>1.6666666666666667</v>
      </c>
      <c r="G78" s="233">
        <f>SUM(G77)</f>
        <v>5</v>
      </c>
      <c r="H78" s="233">
        <f>SUM(H77)</f>
        <v>20</v>
      </c>
    </row>
    <row r="81" spans="1:8" ht="23.25" x14ac:dyDescent="0.35">
      <c r="B81" s="210">
        <v>980</v>
      </c>
      <c r="C81" s="449" t="s">
        <v>1180</v>
      </c>
      <c r="D81" s="449"/>
      <c r="E81" s="449"/>
      <c r="F81" s="449"/>
      <c r="G81" s="449"/>
      <c r="H81" s="449"/>
    </row>
    <row r="82" spans="1:8" ht="23.25" x14ac:dyDescent="0.2">
      <c r="C82" s="263"/>
      <c r="D82" s="263"/>
      <c r="E82" s="263"/>
      <c r="F82" s="209"/>
      <c r="G82" s="209"/>
      <c r="H82" s="209"/>
    </row>
    <row r="83" spans="1:8" ht="63" x14ac:dyDescent="0.25">
      <c r="A83" s="73" t="s">
        <v>598</v>
      </c>
      <c r="B83" s="73" t="s">
        <v>0</v>
      </c>
      <c r="C83" s="76" t="s">
        <v>1</v>
      </c>
      <c r="D83" s="113" t="s">
        <v>1159</v>
      </c>
      <c r="E83" s="113" t="s">
        <v>1156</v>
      </c>
      <c r="F83" s="175" t="s">
        <v>1160</v>
      </c>
      <c r="G83" s="175" t="s">
        <v>1161</v>
      </c>
      <c r="H83" s="175" t="s">
        <v>1162</v>
      </c>
    </row>
    <row r="84" spans="1:8" x14ac:dyDescent="0.2">
      <c r="A84" s="3">
        <v>1</v>
      </c>
      <c r="B84" s="3">
        <v>1994000980</v>
      </c>
      <c r="C84" s="3" t="s">
        <v>1179</v>
      </c>
      <c r="D84" s="70">
        <v>440</v>
      </c>
      <c r="E84" s="70">
        <v>100</v>
      </c>
      <c r="F84" s="70">
        <f>E84/12</f>
        <v>8.3333333333333339</v>
      </c>
      <c r="G84" s="186">
        <v>301</v>
      </c>
      <c r="H84" s="326">
        <v>350</v>
      </c>
    </row>
    <row r="85" spans="1:8" ht="15" x14ac:dyDescent="0.25">
      <c r="A85" s="74"/>
      <c r="B85" s="417" t="str">
        <f>B78</f>
        <v>סה"כ</v>
      </c>
      <c r="C85" s="417"/>
      <c r="D85" s="106">
        <f t="shared" ref="D85:E85" si="13">SUM(D84)</f>
        <v>440</v>
      </c>
      <c r="E85" s="106">
        <f t="shared" si="13"/>
        <v>100</v>
      </c>
      <c r="F85" s="106">
        <f>SUM(F84)</f>
        <v>8.3333333333333339</v>
      </c>
      <c r="G85" s="233">
        <f>SUM(G84)</f>
        <v>301</v>
      </c>
      <c r="H85" s="233">
        <f>SUM(H84)</f>
        <v>350</v>
      </c>
    </row>
  </sheetData>
  <mergeCells count="17">
    <mergeCell ref="B27:C27"/>
    <mergeCell ref="B33:C33"/>
    <mergeCell ref="C35:H35"/>
    <mergeCell ref="C2:H2"/>
    <mergeCell ref="B64:C64"/>
    <mergeCell ref="B58:C58"/>
    <mergeCell ref="B45:C45"/>
    <mergeCell ref="B51:C51"/>
    <mergeCell ref="C47:H47"/>
    <mergeCell ref="C53:H53"/>
    <mergeCell ref="C60:H60"/>
    <mergeCell ref="B85:C85"/>
    <mergeCell ref="C67:H67"/>
    <mergeCell ref="B72:C72"/>
    <mergeCell ref="C74:H74"/>
    <mergeCell ref="B78:C78"/>
    <mergeCell ref="C81:H81"/>
  </mergeCells>
  <pageMargins left="0.70866141732283472" right="0.70866141732283472" top="0.74803149606299213" bottom="0.74803149606299213" header="0.31496062992125984" footer="0.31496062992125984"/>
  <pageSetup paperSize="9" scale="63" firstPageNumber="27" orientation="portrait" useFirstPageNumber="1" r:id="rId1"/>
  <headerFooter>
    <oddFooter>עמוד &amp;P</oddFooter>
  </headerFooter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59D4-A9DD-45E6-9426-0FB1BEFB045F}">
  <sheetPr codeName="גיליון22">
    <pageSetUpPr fitToPage="1"/>
  </sheetPr>
  <dimension ref="A1:H34"/>
  <sheetViews>
    <sheetView rightToLeft="1" topLeftCell="A4" zoomScale="110" zoomScaleNormal="110" workbookViewId="0">
      <selection activeCell="F21" sqref="F21"/>
    </sheetView>
  </sheetViews>
  <sheetFormatPr defaultRowHeight="14.25" x14ac:dyDescent="0.2"/>
  <cols>
    <col min="1" max="1" width="4.375" customWidth="1"/>
    <col min="2" max="2" width="15.375" customWidth="1"/>
    <col min="3" max="3" width="29.5" customWidth="1"/>
    <col min="4" max="4" width="12.375" customWidth="1"/>
    <col min="5" max="5" width="13" customWidth="1"/>
    <col min="8" max="8" width="12.75" customWidth="1"/>
  </cols>
  <sheetData>
    <row r="1" spans="1:8" x14ac:dyDescent="0.2">
      <c r="C1" s="23"/>
    </row>
    <row r="2" spans="1:8" ht="18" customHeight="1" x14ac:dyDescent="0.2">
      <c r="A2" s="461" t="s">
        <v>908</v>
      </c>
      <c r="B2" s="461"/>
      <c r="C2" s="461"/>
      <c r="D2" s="461"/>
      <c r="E2" s="461"/>
      <c r="F2" s="461"/>
      <c r="G2" s="461"/>
      <c r="H2" s="461"/>
    </row>
    <row r="3" spans="1:8" x14ac:dyDescent="0.2">
      <c r="C3" s="23"/>
    </row>
    <row r="4" spans="1:8" s="4" customFormat="1" ht="63" x14ac:dyDescent="0.2">
      <c r="A4" s="334" t="s">
        <v>599</v>
      </c>
      <c r="B4" s="334" t="s">
        <v>0</v>
      </c>
      <c r="C4" s="335" t="s">
        <v>1</v>
      </c>
      <c r="D4" s="330" t="s">
        <v>1159</v>
      </c>
      <c r="E4" s="330" t="s">
        <v>1156</v>
      </c>
      <c r="F4" s="331" t="s">
        <v>1160</v>
      </c>
      <c r="G4" s="331" t="s">
        <v>1161</v>
      </c>
      <c r="H4" s="331" t="s">
        <v>1162</v>
      </c>
    </row>
    <row r="5" spans="1:8" ht="16.899999999999999" customHeight="1" x14ac:dyDescent="0.2">
      <c r="A5" s="189">
        <v>1</v>
      </c>
      <c r="B5" s="189">
        <v>1723000110</v>
      </c>
      <c r="C5" s="189" t="s">
        <v>963</v>
      </c>
      <c r="D5" s="353">
        <v>280</v>
      </c>
      <c r="E5" s="354">
        <v>280</v>
      </c>
      <c r="F5" s="353">
        <f>E5/12</f>
        <v>23.333333333333332</v>
      </c>
      <c r="G5" s="250">
        <v>15</v>
      </c>
      <c r="H5" s="353">
        <v>260</v>
      </c>
    </row>
    <row r="6" spans="1:8" ht="17.45" customHeight="1" x14ac:dyDescent="0.2">
      <c r="A6" s="189">
        <v>2</v>
      </c>
      <c r="B6" s="189">
        <v>1723000420</v>
      </c>
      <c r="C6" s="189" t="s">
        <v>1164</v>
      </c>
      <c r="D6" s="199">
        <v>411</v>
      </c>
      <c r="E6" s="199">
        <f>E22</f>
        <v>411</v>
      </c>
      <c r="F6" s="353">
        <f t="shared" ref="F6:F15" si="0">E6/12</f>
        <v>34.25</v>
      </c>
      <c r="G6" s="250">
        <v>156</v>
      </c>
      <c r="H6" s="199">
        <f>E6</f>
        <v>411</v>
      </c>
    </row>
    <row r="7" spans="1:8" ht="16.899999999999999" customHeight="1" x14ac:dyDescent="0.2">
      <c r="A7" s="189">
        <v>3</v>
      </c>
      <c r="B7" s="189">
        <v>1723100420</v>
      </c>
      <c r="C7" s="189" t="s">
        <v>894</v>
      </c>
      <c r="D7" s="353">
        <v>10</v>
      </c>
      <c r="E7" s="353">
        <f>E23</f>
        <v>10</v>
      </c>
      <c r="F7" s="353">
        <f t="shared" si="0"/>
        <v>0.83333333333333337</v>
      </c>
      <c r="G7" s="250">
        <v>0</v>
      </c>
      <c r="H7" s="199">
        <f t="shared" ref="H7:H12" si="1">E7</f>
        <v>10</v>
      </c>
    </row>
    <row r="8" spans="1:8" ht="16.899999999999999" customHeight="1" x14ac:dyDescent="0.2">
      <c r="A8" s="189">
        <v>4</v>
      </c>
      <c r="B8" s="189">
        <v>1723110420</v>
      </c>
      <c r="C8" s="189" t="s">
        <v>1165</v>
      </c>
      <c r="D8" s="353">
        <v>15</v>
      </c>
      <c r="E8" s="353">
        <f>E24</f>
        <v>15</v>
      </c>
      <c r="F8" s="353">
        <f t="shared" si="0"/>
        <v>1.25</v>
      </c>
      <c r="G8" s="250">
        <v>0</v>
      </c>
      <c r="H8" s="199">
        <f t="shared" si="1"/>
        <v>15</v>
      </c>
    </row>
    <row r="9" spans="1:8" ht="15.6" customHeight="1" x14ac:dyDescent="0.2">
      <c r="A9" s="189">
        <v>5</v>
      </c>
      <c r="B9" s="189">
        <v>1723200420</v>
      </c>
      <c r="C9" s="189" t="s">
        <v>895</v>
      </c>
      <c r="D9" s="353">
        <v>8</v>
      </c>
      <c r="E9" s="353">
        <f>E25</f>
        <v>8</v>
      </c>
      <c r="F9" s="353">
        <f t="shared" si="0"/>
        <v>0.66666666666666663</v>
      </c>
      <c r="G9" s="250">
        <v>0</v>
      </c>
      <c r="H9" s="199">
        <f t="shared" si="1"/>
        <v>8</v>
      </c>
    </row>
    <row r="10" spans="1:8" ht="15" customHeight="1" x14ac:dyDescent="0.2">
      <c r="A10" s="189">
        <v>6</v>
      </c>
      <c r="B10" s="355">
        <v>1723300420</v>
      </c>
      <c r="C10" s="355" t="s">
        <v>899</v>
      </c>
      <c r="D10" s="353">
        <v>36</v>
      </c>
      <c r="E10" s="353">
        <f>E26</f>
        <v>36</v>
      </c>
      <c r="F10" s="353">
        <f t="shared" si="0"/>
        <v>3</v>
      </c>
      <c r="G10" s="250">
        <v>0</v>
      </c>
      <c r="H10" s="199">
        <f t="shared" si="1"/>
        <v>36</v>
      </c>
    </row>
    <row r="11" spans="1:8" ht="15" customHeight="1" x14ac:dyDescent="0.2">
      <c r="A11" s="189">
        <v>7</v>
      </c>
      <c r="B11" s="189">
        <v>1723200930</v>
      </c>
      <c r="C11" s="189" t="s">
        <v>896</v>
      </c>
      <c r="D11" s="199">
        <v>50</v>
      </c>
      <c r="E11" s="199">
        <f>E32</f>
        <v>50</v>
      </c>
      <c r="F11" s="353">
        <f t="shared" si="0"/>
        <v>4.166666666666667</v>
      </c>
      <c r="G11" s="250">
        <v>-6</v>
      </c>
      <c r="H11" s="199">
        <f t="shared" si="1"/>
        <v>50</v>
      </c>
    </row>
    <row r="12" spans="1:8" ht="14.45" customHeight="1" x14ac:dyDescent="0.2">
      <c r="A12" s="189">
        <v>8</v>
      </c>
      <c r="B12" s="189">
        <v>1723110930</v>
      </c>
      <c r="C12" s="189" t="s">
        <v>897</v>
      </c>
      <c r="D12" s="199">
        <v>10</v>
      </c>
      <c r="E12" s="199">
        <f>E33</f>
        <v>10</v>
      </c>
      <c r="F12" s="353">
        <f t="shared" si="0"/>
        <v>0.83333333333333337</v>
      </c>
      <c r="G12" s="250">
        <v>0</v>
      </c>
      <c r="H12" s="199">
        <f t="shared" si="1"/>
        <v>10</v>
      </c>
    </row>
    <row r="13" spans="1:8" ht="15.6" customHeight="1" x14ac:dyDescent="0.2">
      <c r="A13" s="189">
        <v>9</v>
      </c>
      <c r="B13" s="189">
        <v>1723200550</v>
      </c>
      <c r="C13" s="189" t="s">
        <v>528</v>
      </c>
      <c r="D13" s="199">
        <v>13</v>
      </c>
      <c r="E13" s="354">
        <v>13</v>
      </c>
      <c r="F13" s="353">
        <f>E13/12</f>
        <v>1.0833333333333333</v>
      </c>
      <c r="G13" s="250">
        <v>1</v>
      </c>
      <c r="H13" s="199">
        <v>14</v>
      </c>
    </row>
    <row r="14" spans="1:8" ht="16.899999999999999" customHeight="1" thickBot="1" x14ac:dyDescent="0.25">
      <c r="A14" s="189">
        <v>10</v>
      </c>
      <c r="B14" s="355">
        <v>1723200440</v>
      </c>
      <c r="C14" s="355" t="s">
        <v>898</v>
      </c>
      <c r="D14" s="356">
        <v>10</v>
      </c>
      <c r="E14" s="356">
        <v>10</v>
      </c>
      <c r="F14" s="353">
        <f t="shared" si="0"/>
        <v>0.83333333333333337</v>
      </c>
      <c r="G14" s="357">
        <v>0</v>
      </c>
      <c r="H14" s="356">
        <f>E14</f>
        <v>10</v>
      </c>
    </row>
    <row r="15" spans="1:8" ht="15.75" thickBot="1" x14ac:dyDescent="0.3">
      <c r="A15" s="358"/>
      <c r="B15" s="455" t="s">
        <v>962</v>
      </c>
      <c r="C15" s="456"/>
      <c r="D15" s="359">
        <f>SUM(D5:D14)</f>
        <v>843</v>
      </c>
      <c r="E15" s="359">
        <f>SUM(E5:E14)</f>
        <v>843</v>
      </c>
      <c r="F15" s="359">
        <f t="shared" si="0"/>
        <v>70.25</v>
      </c>
      <c r="G15" s="360">
        <f>SUM(G5:G14)</f>
        <v>166</v>
      </c>
      <c r="H15" s="361">
        <f>SUM(H5:H14)</f>
        <v>824</v>
      </c>
    </row>
    <row r="16" spans="1:8" s="6" customFormat="1" ht="15" thickBot="1" x14ac:dyDescent="0.25">
      <c r="A16" s="189">
        <v>1</v>
      </c>
      <c r="B16" s="354">
        <v>1723000811</v>
      </c>
      <c r="C16" s="354" t="s">
        <v>414</v>
      </c>
      <c r="D16" s="362">
        <v>318</v>
      </c>
      <c r="E16" s="243">
        <v>318</v>
      </c>
      <c r="F16" s="353">
        <f>E16/12</f>
        <v>26.5</v>
      </c>
      <c r="G16" s="363">
        <v>0</v>
      </c>
      <c r="H16" s="362">
        <v>323</v>
      </c>
    </row>
    <row r="17" spans="1:8" ht="15.75" thickBot="1" x14ac:dyDescent="0.3">
      <c r="A17" s="358"/>
      <c r="B17" s="457" t="s">
        <v>1077</v>
      </c>
      <c r="C17" s="458"/>
      <c r="D17" s="359">
        <f>D15+D16</f>
        <v>1161</v>
      </c>
      <c r="E17" s="359">
        <f>E15+H16</f>
        <v>1166</v>
      </c>
      <c r="F17" s="359">
        <f t="shared" ref="F17:G17" si="2">F15+I16</f>
        <v>70.25</v>
      </c>
      <c r="G17" s="359">
        <f t="shared" si="2"/>
        <v>166</v>
      </c>
      <c r="H17" s="359">
        <f>SUM(H15:H16)</f>
        <v>1147</v>
      </c>
    </row>
    <row r="19" spans="1:8" ht="18" x14ac:dyDescent="0.2">
      <c r="B19" s="132">
        <v>420</v>
      </c>
    </row>
    <row r="20" spans="1:8" ht="15" x14ac:dyDescent="0.25">
      <c r="B20" s="12"/>
    </row>
    <row r="21" spans="1:8" s="4" customFormat="1" ht="63" x14ac:dyDescent="0.2">
      <c r="A21" s="116" t="s">
        <v>599</v>
      </c>
      <c r="B21" s="116" t="s">
        <v>0</v>
      </c>
      <c r="C21" s="112" t="s">
        <v>1</v>
      </c>
      <c r="D21" s="113" t="s">
        <v>1159</v>
      </c>
      <c r="E21" s="113" t="s">
        <v>1156</v>
      </c>
      <c r="F21" s="175" t="s">
        <v>1160</v>
      </c>
      <c r="G21" s="175" t="s">
        <v>1161</v>
      </c>
      <c r="H21" s="175" t="s">
        <v>1162</v>
      </c>
    </row>
    <row r="22" spans="1:8" ht="17.45" customHeight="1" x14ac:dyDescent="0.2">
      <c r="A22" s="3">
        <v>1</v>
      </c>
      <c r="B22" s="3">
        <v>1723000420</v>
      </c>
      <c r="C22" s="3" t="s">
        <v>1164</v>
      </c>
      <c r="D22" s="25">
        <v>411</v>
      </c>
      <c r="E22" s="25">
        <v>411</v>
      </c>
      <c r="F22" s="72">
        <f>E22/12</f>
        <v>34.25</v>
      </c>
      <c r="G22" s="25">
        <v>156</v>
      </c>
      <c r="H22" s="25">
        <f>E22</f>
        <v>411</v>
      </c>
    </row>
    <row r="23" spans="1:8" ht="16.899999999999999" customHeight="1" x14ac:dyDescent="0.2">
      <c r="A23" s="3">
        <v>2</v>
      </c>
      <c r="B23" s="3">
        <v>1723100420</v>
      </c>
      <c r="C23" s="3" t="s">
        <v>894</v>
      </c>
      <c r="D23" s="25">
        <v>10</v>
      </c>
      <c r="E23" s="25">
        <v>10</v>
      </c>
      <c r="F23" s="72">
        <f t="shared" ref="F23:F27" si="3">E23/12</f>
        <v>0.83333333333333337</v>
      </c>
      <c r="G23" s="25">
        <v>0</v>
      </c>
      <c r="H23" s="25">
        <f t="shared" ref="H23:H26" si="4">E23</f>
        <v>10</v>
      </c>
    </row>
    <row r="24" spans="1:8" ht="16.899999999999999" customHeight="1" x14ac:dyDescent="0.2">
      <c r="A24" s="3">
        <v>3</v>
      </c>
      <c r="B24" s="3">
        <v>1723110420</v>
      </c>
      <c r="C24" s="3" t="s">
        <v>1165</v>
      </c>
      <c r="D24" s="25">
        <v>15</v>
      </c>
      <c r="E24" s="25">
        <v>15</v>
      </c>
      <c r="F24" s="72">
        <f t="shared" si="3"/>
        <v>1.25</v>
      </c>
      <c r="G24" s="25">
        <v>0</v>
      </c>
      <c r="H24" s="25">
        <f t="shared" si="4"/>
        <v>15</v>
      </c>
    </row>
    <row r="25" spans="1:8" ht="13.9" customHeight="1" x14ac:dyDescent="0.2">
      <c r="A25" s="3">
        <v>4</v>
      </c>
      <c r="B25" s="3">
        <v>1723200420</v>
      </c>
      <c r="C25" s="3" t="s">
        <v>895</v>
      </c>
      <c r="D25" s="25">
        <v>8</v>
      </c>
      <c r="E25" s="25">
        <v>8</v>
      </c>
      <c r="F25" s="72">
        <f t="shared" si="3"/>
        <v>0.66666666666666663</v>
      </c>
      <c r="G25" s="25">
        <v>0</v>
      </c>
      <c r="H25" s="25">
        <f t="shared" si="4"/>
        <v>8</v>
      </c>
    </row>
    <row r="26" spans="1:8" ht="18" customHeight="1" thickBot="1" x14ac:dyDescent="0.25">
      <c r="A26" s="3">
        <v>5</v>
      </c>
      <c r="B26" s="114">
        <v>1723300420</v>
      </c>
      <c r="C26" s="114" t="s">
        <v>899</v>
      </c>
      <c r="D26" s="108">
        <v>36</v>
      </c>
      <c r="E26" s="108">
        <v>36</v>
      </c>
      <c r="F26" s="72">
        <f t="shared" si="3"/>
        <v>3</v>
      </c>
      <c r="G26" s="108">
        <v>0</v>
      </c>
      <c r="H26" s="25">
        <f t="shared" si="4"/>
        <v>36</v>
      </c>
    </row>
    <row r="27" spans="1:8" ht="15.75" thickBot="1" x14ac:dyDescent="0.3">
      <c r="A27" s="36"/>
      <c r="B27" s="459" t="s">
        <v>962</v>
      </c>
      <c r="C27" s="460"/>
      <c r="D27" s="262">
        <f t="shared" ref="D27:E27" si="5">SUM(D22:D26)</f>
        <v>480</v>
      </c>
      <c r="E27" s="262">
        <f t="shared" si="5"/>
        <v>480</v>
      </c>
      <c r="F27" s="262">
        <f t="shared" si="3"/>
        <v>40</v>
      </c>
      <c r="G27" s="262">
        <f>SUM(G22:G26)</f>
        <v>156</v>
      </c>
      <c r="H27" s="262">
        <f>SUM(H22:H26)</f>
        <v>480</v>
      </c>
    </row>
    <row r="29" spans="1:8" ht="18" x14ac:dyDescent="0.2">
      <c r="B29" s="132">
        <v>930</v>
      </c>
    </row>
    <row r="30" spans="1:8" ht="15" x14ac:dyDescent="0.25">
      <c r="B30" s="12"/>
    </row>
    <row r="31" spans="1:8" ht="63" x14ac:dyDescent="0.2">
      <c r="A31" s="116" t="s">
        <v>599</v>
      </c>
      <c r="B31" s="116" t="s">
        <v>0</v>
      </c>
      <c r="C31" s="112" t="s">
        <v>1</v>
      </c>
      <c r="D31" s="113" t="s">
        <v>1159</v>
      </c>
      <c r="E31" s="113" t="s">
        <v>1156</v>
      </c>
      <c r="F31" s="175" t="s">
        <v>1160</v>
      </c>
      <c r="G31" s="175" t="s">
        <v>1161</v>
      </c>
      <c r="H31" s="175" t="s">
        <v>1162</v>
      </c>
    </row>
    <row r="32" spans="1:8" x14ac:dyDescent="0.2">
      <c r="A32" s="3">
        <v>1</v>
      </c>
      <c r="B32" s="3">
        <v>1723200930</v>
      </c>
      <c r="C32" s="3" t="s">
        <v>896</v>
      </c>
      <c r="D32" s="3">
        <v>50</v>
      </c>
      <c r="E32" s="3">
        <v>50</v>
      </c>
      <c r="F32" s="31">
        <f>E32/12</f>
        <v>4.166666666666667</v>
      </c>
      <c r="G32" s="3">
        <v>-6</v>
      </c>
      <c r="H32" s="3">
        <f>E32</f>
        <v>50</v>
      </c>
    </row>
    <row r="33" spans="1:8" x14ac:dyDescent="0.2">
      <c r="A33" s="3">
        <v>2</v>
      </c>
      <c r="B33" s="3">
        <v>1723110930</v>
      </c>
      <c r="C33" s="3" t="s">
        <v>897</v>
      </c>
      <c r="D33" s="3">
        <v>10</v>
      </c>
      <c r="E33" s="3">
        <v>10</v>
      </c>
      <c r="F33" s="31">
        <f>E33/12</f>
        <v>0.83333333333333337</v>
      </c>
      <c r="G33" s="3">
        <v>0</v>
      </c>
      <c r="H33" s="3">
        <f>E33</f>
        <v>10</v>
      </c>
    </row>
    <row r="34" spans="1:8" ht="15" x14ac:dyDescent="0.25">
      <c r="A34" s="417"/>
      <c r="B34" s="417"/>
      <c r="C34" s="73"/>
      <c r="D34" s="73">
        <f>SUM(D32:D33)</f>
        <v>60</v>
      </c>
      <c r="E34" s="73">
        <f t="shared" ref="E34" si="6">SUM(E32:E33)</f>
        <v>60</v>
      </c>
      <c r="F34" s="278">
        <f>SUM(F32:F33)</f>
        <v>5</v>
      </c>
      <c r="G34" s="73">
        <f>SUM(G32:G33)</f>
        <v>-6</v>
      </c>
      <c r="H34" s="73">
        <f>SUM(H32:H33)</f>
        <v>60</v>
      </c>
    </row>
  </sheetData>
  <mergeCells count="5">
    <mergeCell ref="A34:B34"/>
    <mergeCell ref="B15:C15"/>
    <mergeCell ref="B17:C17"/>
    <mergeCell ref="B27:C27"/>
    <mergeCell ref="A2:H2"/>
  </mergeCells>
  <pageMargins left="1" right="1" top="1" bottom="1" header="0.5" footer="0.5"/>
  <pageSetup paperSize="9" scale="70" fitToHeight="0" orientation="portrait" r:id="rId1"/>
  <ignoredErrors>
    <ignoredError sqref="F2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3"/>
  <dimension ref="A2:H109"/>
  <sheetViews>
    <sheetView rightToLeft="1" topLeftCell="A48" zoomScale="110" zoomScaleNormal="110" workbookViewId="0">
      <selection activeCell="A72" sqref="A72:XFD72"/>
    </sheetView>
  </sheetViews>
  <sheetFormatPr defaultRowHeight="14.25" x14ac:dyDescent="0.2"/>
  <cols>
    <col min="1" max="1" width="4.125" customWidth="1"/>
    <col min="2" max="2" width="12.625" bestFit="1" customWidth="1"/>
    <col min="3" max="3" width="40.75" style="23" customWidth="1"/>
    <col min="4" max="4" width="13.25" customWidth="1"/>
    <col min="5" max="5" width="15" style="30" customWidth="1"/>
    <col min="6" max="7" width="13.5" customWidth="1"/>
    <col min="8" max="8" width="12.75" customWidth="1"/>
    <col min="10" max="10" width="11.25" customWidth="1"/>
  </cols>
  <sheetData>
    <row r="2" spans="1:8" ht="23.25" x14ac:dyDescent="0.25">
      <c r="B2" s="17">
        <v>780</v>
      </c>
      <c r="C2" s="436" t="s">
        <v>456</v>
      </c>
      <c r="D2" s="436"/>
      <c r="E2" s="436"/>
      <c r="F2" s="436"/>
      <c r="G2" s="436"/>
      <c r="H2" s="436"/>
    </row>
    <row r="3" spans="1:8" ht="12" customHeight="1" x14ac:dyDescent="0.2">
      <c r="D3" s="4"/>
    </row>
    <row r="4" spans="1:8" s="117" customFormat="1" ht="31.5" x14ac:dyDescent="0.2">
      <c r="A4" s="334" t="s">
        <v>596</v>
      </c>
      <c r="B4" s="349" t="s">
        <v>0</v>
      </c>
      <c r="C4" s="335" t="s">
        <v>1</v>
      </c>
      <c r="D4" s="330" t="s">
        <v>1159</v>
      </c>
      <c r="E4" s="330" t="s">
        <v>1156</v>
      </c>
      <c r="F4" s="331" t="s">
        <v>1160</v>
      </c>
      <c r="G4" s="331" t="s">
        <v>1161</v>
      </c>
      <c r="H4" s="331" t="s">
        <v>1162</v>
      </c>
    </row>
    <row r="5" spans="1:8" x14ac:dyDescent="0.2">
      <c r="A5" s="189">
        <v>1</v>
      </c>
      <c r="B5" s="248">
        <v>1613000780</v>
      </c>
      <c r="C5" s="200" t="s">
        <v>976</v>
      </c>
      <c r="D5" s="189">
        <v>40</v>
      </c>
      <c r="E5" s="189">
        <v>40</v>
      </c>
      <c r="F5" s="253">
        <f>E5/12</f>
        <v>3.3333333333333335</v>
      </c>
      <c r="G5" s="189">
        <v>0</v>
      </c>
      <c r="H5" s="189">
        <f>E5</f>
        <v>40</v>
      </c>
    </row>
    <row r="6" spans="1:8" x14ac:dyDescent="0.2">
      <c r="A6" s="189">
        <v>2</v>
      </c>
      <c r="B6" s="248">
        <v>1616000780</v>
      </c>
      <c r="C6" s="350" t="s">
        <v>176</v>
      </c>
      <c r="D6" s="199">
        <v>140</v>
      </c>
      <c r="E6" s="199">
        <v>120</v>
      </c>
      <c r="F6" s="253">
        <f t="shared" ref="F6:F70" si="0">E6/12</f>
        <v>10</v>
      </c>
      <c r="G6" s="199">
        <v>42</v>
      </c>
      <c r="H6" s="189">
        <v>120</v>
      </c>
    </row>
    <row r="7" spans="1:8" x14ac:dyDescent="0.2">
      <c r="A7" s="189">
        <v>3</v>
      </c>
      <c r="B7" s="248">
        <v>1619000780</v>
      </c>
      <c r="C7" s="200" t="s">
        <v>1143</v>
      </c>
      <c r="D7" s="199"/>
      <c r="E7" s="253">
        <v>600</v>
      </c>
      <c r="F7" s="253">
        <f t="shared" si="0"/>
        <v>50</v>
      </c>
      <c r="G7" s="253">
        <v>0</v>
      </c>
      <c r="H7" s="253">
        <f>3.5*143+2.868*143+1.3*143</f>
        <v>1096.5240000000001</v>
      </c>
    </row>
    <row r="8" spans="1:8" x14ac:dyDescent="0.2">
      <c r="A8" s="189">
        <v>4</v>
      </c>
      <c r="B8" s="248">
        <v>1711000780</v>
      </c>
      <c r="C8" s="200" t="s">
        <v>205</v>
      </c>
      <c r="D8" s="199">
        <v>3</v>
      </c>
      <c r="E8" s="199">
        <v>3</v>
      </c>
      <c r="F8" s="253">
        <f t="shared" si="0"/>
        <v>0.25</v>
      </c>
      <c r="G8" s="199">
        <v>0</v>
      </c>
      <c r="H8" s="253">
        <v>3.3</v>
      </c>
    </row>
    <row r="9" spans="1:8" x14ac:dyDescent="0.2">
      <c r="A9" s="189">
        <v>5</v>
      </c>
      <c r="B9" s="248">
        <v>1711300780</v>
      </c>
      <c r="C9" s="200" t="s">
        <v>588</v>
      </c>
      <c r="D9" s="199">
        <v>18</v>
      </c>
      <c r="E9" s="199">
        <v>18</v>
      </c>
      <c r="F9" s="253">
        <f t="shared" si="0"/>
        <v>1.5</v>
      </c>
      <c r="G9" s="199">
        <v>18</v>
      </c>
      <c r="H9" s="189">
        <f>E9+12+2</f>
        <v>32</v>
      </c>
    </row>
    <row r="10" spans="1:8" x14ac:dyDescent="0.2">
      <c r="A10" s="189">
        <v>6</v>
      </c>
      <c r="B10" s="248">
        <v>1711500780</v>
      </c>
      <c r="C10" s="200" t="s">
        <v>1067</v>
      </c>
      <c r="D10" s="250">
        <v>1.5</v>
      </c>
      <c r="E10" s="199">
        <v>2</v>
      </c>
      <c r="F10" s="253">
        <f t="shared" si="0"/>
        <v>0.16666666666666666</v>
      </c>
      <c r="G10" s="199">
        <v>0</v>
      </c>
      <c r="H10" s="253">
        <f>2.2+1.1</f>
        <v>3.3000000000000003</v>
      </c>
    </row>
    <row r="11" spans="1:8" x14ac:dyDescent="0.2">
      <c r="A11" s="189">
        <v>7</v>
      </c>
      <c r="B11" s="248">
        <v>1714200780</v>
      </c>
      <c r="C11" s="200" t="s">
        <v>1193</v>
      </c>
      <c r="D11" s="199">
        <v>20</v>
      </c>
      <c r="E11" s="199">
        <v>20</v>
      </c>
      <c r="F11" s="253">
        <f t="shared" si="0"/>
        <v>1.6666666666666667</v>
      </c>
      <c r="G11" s="199">
        <v>3</v>
      </c>
      <c r="H11" s="189">
        <f t="shared" ref="H11:H15" si="1">E11</f>
        <v>20</v>
      </c>
    </row>
    <row r="12" spans="1:8" x14ac:dyDescent="0.2">
      <c r="A12" s="189">
        <v>8</v>
      </c>
      <c r="B12" s="189">
        <v>1714210780</v>
      </c>
      <c r="C12" s="254" t="s">
        <v>487</v>
      </c>
      <c r="D12" s="199">
        <v>100</v>
      </c>
      <c r="E12" s="199">
        <v>100</v>
      </c>
      <c r="F12" s="253">
        <f t="shared" si="0"/>
        <v>8.3333333333333339</v>
      </c>
      <c r="G12" s="199">
        <v>43</v>
      </c>
      <c r="H12" s="189">
        <v>150</v>
      </c>
    </row>
    <row r="13" spans="1:8" x14ac:dyDescent="0.2">
      <c r="A13" s="189">
        <v>9</v>
      </c>
      <c r="B13" s="189">
        <v>1722000780</v>
      </c>
      <c r="C13" s="200" t="s">
        <v>946</v>
      </c>
      <c r="D13" s="199">
        <v>2</v>
      </c>
      <c r="E13" s="199">
        <v>2</v>
      </c>
      <c r="F13" s="253">
        <f t="shared" si="0"/>
        <v>0.16666666666666666</v>
      </c>
      <c r="G13" s="199">
        <v>0</v>
      </c>
      <c r="H13" s="253">
        <v>2.2000000000000002</v>
      </c>
    </row>
    <row r="14" spans="1:8" x14ac:dyDescent="0.2">
      <c r="A14" s="189">
        <v>10</v>
      </c>
      <c r="B14" s="248">
        <v>1752300780</v>
      </c>
      <c r="C14" s="200" t="s">
        <v>1053</v>
      </c>
      <c r="D14" s="199">
        <v>10</v>
      </c>
      <c r="E14" s="199">
        <v>10</v>
      </c>
      <c r="F14" s="253">
        <f t="shared" si="0"/>
        <v>0.83333333333333337</v>
      </c>
      <c r="G14" s="199">
        <v>0</v>
      </c>
      <c r="H14" s="189">
        <v>11</v>
      </c>
    </row>
    <row r="15" spans="1:8" x14ac:dyDescent="0.2">
      <c r="A15" s="189">
        <v>11</v>
      </c>
      <c r="B15" s="248">
        <v>1731000780</v>
      </c>
      <c r="C15" s="200" t="s">
        <v>231</v>
      </c>
      <c r="D15" s="199">
        <v>15</v>
      </c>
      <c r="E15" s="199">
        <v>15</v>
      </c>
      <c r="F15" s="253">
        <f t="shared" si="0"/>
        <v>1.25</v>
      </c>
      <c r="G15" s="199">
        <v>1</v>
      </c>
      <c r="H15" s="189">
        <f t="shared" si="1"/>
        <v>15</v>
      </c>
    </row>
    <row r="16" spans="1:8" x14ac:dyDescent="0.2">
      <c r="A16" s="189">
        <v>12</v>
      </c>
      <c r="B16" s="248">
        <v>1731100780</v>
      </c>
      <c r="C16" s="200" t="s">
        <v>232</v>
      </c>
      <c r="D16" s="199">
        <v>4</v>
      </c>
      <c r="E16" s="199">
        <v>4</v>
      </c>
      <c r="F16" s="253">
        <f t="shared" si="0"/>
        <v>0.33333333333333331</v>
      </c>
      <c r="G16" s="199">
        <v>0</v>
      </c>
      <c r="H16" s="253">
        <v>4.4000000000000004</v>
      </c>
    </row>
    <row r="17" spans="1:8" x14ac:dyDescent="0.2">
      <c r="A17" s="189">
        <v>13</v>
      </c>
      <c r="B17" s="248">
        <v>1731300780</v>
      </c>
      <c r="C17" s="200" t="s">
        <v>233</v>
      </c>
      <c r="D17" s="199">
        <v>3</v>
      </c>
      <c r="E17" s="199">
        <v>3</v>
      </c>
      <c r="F17" s="253">
        <f t="shared" si="0"/>
        <v>0.25</v>
      </c>
      <c r="G17" s="199">
        <v>0</v>
      </c>
      <c r="H17" s="253">
        <v>4.4000000000000004</v>
      </c>
    </row>
    <row r="18" spans="1:8" x14ac:dyDescent="0.2">
      <c r="A18" s="189">
        <v>14</v>
      </c>
      <c r="B18" s="248">
        <v>1746000780</v>
      </c>
      <c r="C18" s="200" t="s">
        <v>1065</v>
      </c>
      <c r="D18" s="199">
        <v>2</v>
      </c>
      <c r="E18" s="199">
        <v>2</v>
      </c>
      <c r="F18" s="253">
        <f t="shared" si="0"/>
        <v>0.16666666666666666</v>
      </c>
      <c r="G18" s="199">
        <v>0</v>
      </c>
      <c r="H18" s="253">
        <v>2.2000000000000002</v>
      </c>
    </row>
    <row r="19" spans="1:8" x14ac:dyDescent="0.2">
      <c r="A19" s="189">
        <v>15</v>
      </c>
      <c r="B19" s="248">
        <v>1746100780</v>
      </c>
      <c r="C19" s="200" t="s">
        <v>870</v>
      </c>
      <c r="D19" s="199">
        <v>15</v>
      </c>
      <c r="E19" s="240">
        <v>15</v>
      </c>
      <c r="F19" s="253">
        <f t="shared" si="0"/>
        <v>1.25</v>
      </c>
      <c r="G19" s="240">
        <v>12</v>
      </c>
      <c r="H19" s="253">
        <v>25</v>
      </c>
    </row>
    <row r="20" spans="1:8" x14ac:dyDescent="0.2">
      <c r="A20" s="189">
        <v>16</v>
      </c>
      <c r="B20" s="248">
        <v>1746200780</v>
      </c>
      <c r="C20" s="200" t="s">
        <v>1064</v>
      </c>
      <c r="D20" s="199">
        <v>4</v>
      </c>
      <c r="E20" s="199">
        <v>4</v>
      </c>
      <c r="F20" s="253">
        <f t="shared" si="0"/>
        <v>0.33333333333333331</v>
      </c>
      <c r="G20" s="283">
        <v>0</v>
      </c>
      <c r="H20" s="199">
        <f>E20</f>
        <v>4</v>
      </c>
    </row>
    <row r="21" spans="1:8" x14ac:dyDescent="0.2">
      <c r="A21" s="189">
        <v>17</v>
      </c>
      <c r="B21" s="189">
        <v>1746210780</v>
      </c>
      <c r="C21" s="200" t="s">
        <v>1148</v>
      </c>
      <c r="D21" s="199">
        <v>0</v>
      </c>
      <c r="E21" s="253">
        <v>0</v>
      </c>
      <c r="F21" s="253">
        <f t="shared" si="0"/>
        <v>0</v>
      </c>
      <c r="G21" s="253">
        <v>8</v>
      </c>
      <c r="H21" s="253">
        <v>30</v>
      </c>
    </row>
    <row r="22" spans="1:8" x14ac:dyDescent="0.2">
      <c r="A22" s="189">
        <v>18</v>
      </c>
      <c r="B22" s="189">
        <v>1746220780</v>
      </c>
      <c r="C22" s="200" t="s">
        <v>1149</v>
      </c>
      <c r="D22" s="199">
        <v>0</v>
      </c>
      <c r="E22" s="253">
        <v>0</v>
      </c>
      <c r="F22" s="253">
        <f t="shared" si="0"/>
        <v>0</v>
      </c>
      <c r="G22" s="253">
        <v>8</v>
      </c>
      <c r="H22" s="253">
        <v>15</v>
      </c>
    </row>
    <row r="23" spans="1:8" x14ac:dyDescent="0.2">
      <c r="A23" s="189">
        <v>19</v>
      </c>
      <c r="B23" s="189">
        <v>1746230780</v>
      </c>
      <c r="C23" s="200" t="s">
        <v>1150</v>
      </c>
      <c r="D23" s="199">
        <v>0</v>
      </c>
      <c r="E23" s="253">
        <v>0</v>
      </c>
      <c r="F23" s="253">
        <f t="shared" si="0"/>
        <v>0</v>
      </c>
      <c r="G23" s="253">
        <v>30</v>
      </c>
      <c r="H23" s="253">
        <v>37</v>
      </c>
    </row>
    <row r="24" spans="1:8" x14ac:dyDescent="0.2">
      <c r="A24" s="189">
        <v>20</v>
      </c>
      <c r="B24" s="189">
        <v>1746240780</v>
      </c>
      <c r="C24" s="200" t="s">
        <v>1152</v>
      </c>
      <c r="D24" s="199">
        <v>0</v>
      </c>
      <c r="E24" s="253">
        <v>0</v>
      </c>
      <c r="F24" s="253">
        <f t="shared" si="0"/>
        <v>0</v>
      </c>
      <c r="G24" s="253">
        <v>6</v>
      </c>
      <c r="H24" s="253">
        <v>20</v>
      </c>
    </row>
    <row r="25" spans="1:8" x14ac:dyDescent="0.2">
      <c r="A25" s="189">
        <v>21</v>
      </c>
      <c r="B25" s="189">
        <v>1746250780</v>
      </c>
      <c r="C25" s="200" t="s">
        <v>1188</v>
      </c>
      <c r="D25" s="199"/>
      <c r="E25" s="253"/>
      <c r="F25" s="253"/>
      <c r="G25" s="253">
        <v>37</v>
      </c>
      <c r="H25" s="253">
        <v>40</v>
      </c>
    </row>
    <row r="26" spans="1:8" x14ac:dyDescent="0.2">
      <c r="A26" s="189">
        <v>22</v>
      </c>
      <c r="B26" s="248">
        <v>1751000780</v>
      </c>
      <c r="C26" s="200" t="s">
        <v>246</v>
      </c>
      <c r="D26" s="199">
        <v>475</v>
      </c>
      <c r="E26" s="199">
        <v>475</v>
      </c>
      <c r="F26" s="253">
        <f t="shared" si="0"/>
        <v>39.583333333333336</v>
      </c>
      <c r="G26" s="199">
        <v>230</v>
      </c>
      <c r="H26" s="199">
        <f>E26</f>
        <v>475</v>
      </c>
    </row>
    <row r="27" spans="1:8" x14ac:dyDescent="0.2">
      <c r="A27" s="189">
        <v>23</v>
      </c>
      <c r="B27" s="248">
        <v>1752000780</v>
      </c>
      <c r="C27" s="200" t="s">
        <v>247</v>
      </c>
      <c r="D27" s="199">
        <v>665</v>
      </c>
      <c r="E27" s="199">
        <v>665</v>
      </c>
      <c r="F27" s="253">
        <f t="shared" si="0"/>
        <v>55.416666666666664</v>
      </c>
      <c r="G27" s="199">
        <v>657</v>
      </c>
      <c r="H27" s="199">
        <f t="shared" ref="H27:H33" si="2">E27</f>
        <v>665</v>
      </c>
    </row>
    <row r="28" spans="1:8" x14ac:dyDescent="0.2">
      <c r="A28" s="189">
        <v>24</v>
      </c>
      <c r="B28" s="248">
        <v>1752100780</v>
      </c>
      <c r="C28" s="200" t="s">
        <v>954</v>
      </c>
      <c r="D28" s="199">
        <v>3</v>
      </c>
      <c r="E28" s="199">
        <v>3</v>
      </c>
      <c r="F28" s="253">
        <f t="shared" si="0"/>
        <v>0.25</v>
      </c>
      <c r="G28" s="199">
        <v>0</v>
      </c>
      <c r="H28" s="250">
        <v>3.3</v>
      </c>
    </row>
    <row r="29" spans="1:8" x14ac:dyDescent="0.2">
      <c r="A29" s="189">
        <v>25</v>
      </c>
      <c r="B29" s="248">
        <v>1761120780</v>
      </c>
      <c r="C29" s="200" t="s">
        <v>252</v>
      </c>
      <c r="D29" s="199">
        <v>5</v>
      </c>
      <c r="E29" s="199">
        <v>5</v>
      </c>
      <c r="F29" s="253">
        <f t="shared" si="0"/>
        <v>0.41666666666666669</v>
      </c>
      <c r="G29" s="199">
        <v>0</v>
      </c>
      <c r="H29" s="250">
        <v>5.5</v>
      </c>
    </row>
    <row r="30" spans="1:8" x14ac:dyDescent="0.2">
      <c r="A30" s="189">
        <v>26</v>
      </c>
      <c r="B30" s="248">
        <v>1764000780</v>
      </c>
      <c r="C30" s="200" t="s">
        <v>956</v>
      </c>
      <c r="D30" s="199">
        <v>8</v>
      </c>
      <c r="E30" s="199">
        <v>15</v>
      </c>
      <c r="F30" s="253">
        <f t="shared" si="0"/>
        <v>1.25</v>
      </c>
      <c r="G30" s="199">
        <v>0</v>
      </c>
      <c r="H30" s="199">
        <f t="shared" si="2"/>
        <v>15</v>
      </c>
    </row>
    <row r="31" spans="1:8" x14ac:dyDescent="0.2">
      <c r="A31" s="189">
        <v>27</v>
      </c>
      <c r="B31" s="189">
        <v>1766000780</v>
      </c>
      <c r="C31" s="254" t="s">
        <v>253</v>
      </c>
      <c r="D31" s="199">
        <v>1</v>
      </c>
      <c r="E31" s="199">
        <v>1</v>
      </c>
      <c r="F31" s="253">
        <f t="shared" si="0"/>
        <v>8.3333333333333329E-2</v>
      </c>
      <c r="G31" s="199">
        <v>0</v>
      </c>
      <c r="H31" s="250">
        <v>1.1000000000000001</v>
      </c>
    </row>
    <row r="32" spans="1:8" x14ac:dyDescent="0.2">
      <c r="A32" s="189">
        <v>28</v>
      </c>
      <c r="B32" s="248">
        <v>1811000780</v>
      </c>
      <c r="C32" s="200" t="s">
        <v>489</v>
      </c>
      <c r="D32" s="199">
        <v>230</v>
      </c>
      <c r="E32" s="199">
        <v>200</v>
      </c>
      <c r="F32" s="253">
        <f t="shared" si="0"/>
        <v>16.666666666666668</v>
      </c>
      <c r="G32" s="199">
        <v>33</v>
      </c>
      <c r="H32" s="199">
        <v>240</v>
      </c>
    </row>
    <row r="33" spans="1:8" x14ac:dyDescent="0.2">
      <c r="A33" s="189">
        <v>29</v>
      </c>
      <c r="B33" s="248">
        <v>1811200780</v>
      </c>
      <c r="C33" s="200" t="s">
        <v>871</v>
      </c>
      <c r="D33" s="199">
        <v>20</v>
      </c>
      <c r="E33" s="199">
        <v>20</v>
      </c>
      <c r="F33" s="253">
        <f t="shared" si="0"/>
        <v>1.6666666666666667</v>
      </c>
      <c r="G33" s="199">
        <v>3</v>
      </c>
      <c r="H33" s="199">
        <f t="shared" si="2"/>
        <v>20</v>
      </c>
    </row>
    <row r="34" spans="1:8" x14ac:dyDescent="0.2">
      <c r="A34" s="189">
        <v>30</v>
      </c>
      <c r="B34" s="248">
        <v>1811300780</v>
      </c>
      <c r="C34" s="200" t="s">
        <v>1155</v>
      </c>
      <c r="D34" s="199"/>
      <c r="E34" s="253"/>
      <c r="F34" s="253">
        <f t="shared" si="0"/>
        <v>0</v>
      </c>
      <c r="G34" s="253">
        <v>0</v>
      </c>
      <c r="H34" s="253">
        <v>2.2000000000000002</v>
      </c>
    </row>
    <row r="35" spans="1:8" x14ac:dyDescent="0.2">
      <c r="A35" s="189">
        <v>31</v>
      </c>
      <c r="B35" s="248">
        <v>1811400780</v>
      </c>
      <c r="C35" s="200" t="s">
        <v>266</v>
      </c>
      <c r="D35" s="199">
        <v>8</v>
      </c>
      <c r="E35" s="199">
        <v>8</v>
      </c>
      <c r="F35" s="253">
        <f t="shared" si="0"/>
        <v>0.66666666666666663</v>
      </c>
      <c r="G35" s="199">
        <v>0</v>
      </c>
      <c r="H35" s="250">
        <v>8.8000000000000007</v>
      </c>
    </row>
    <row r="36" spans="1:8" x14ac:dyDescent="0.2">
      <c r="A36" s="189">
        <v>32</v>
      </c>
      <c r="B36" s="189">
        <v>1811500780</v>
      </c>
      <c r="C36" s="351" t="s">
        <v>872</v>
      </c>
      <c r="D36" s="199">
        <v>2</v>
      </c>
      <c r="E36" s="199">
        <v>0</v>
      </c>
      <c r="F36" s="253">
        <f t="shared" si="0"/>
        <v>0</v>
      </c>
      <c r="G36" s="199">
        <v>0</v>
      </c>
      <c r="H36" s="199">
        <f>E36</f>
        <v>0</v>
      </c>
    </row>
    <row r="37" spans="1:8" x14ac:dyDescent="0.2">
      <c r="A37" s="189">
        <v>33</v>
      </c>
      <c r="B37" s="248">
        <v>1811800780</v>
      </c>
      <c r="C37" s="351" t="s">
        <v>1194</v>
      </c>
      <c r="D37" s="199">
        <v>0</v>
      </c>
      <c r="E37" s="199">
        <v>0</v>
      </c>
      <c r="F37" s="253">
        <v>0</v>
      </c>
      <c r="G37" s="199">
        <v>0</v>
      </c>
      <c r="H37" s="199">
        <v>400</v>
      </c>
    </row>
    <row r="38" spans="1:8" x14ac:dyDescent="0.2">
      <c r="A38" s="189">
        <v>34</v>
      </c>
      <c r="B38" s="248">
        <v>1813210780</v>
      </c>
      <c r="C38" s="200" t="s">
        <v>1197</v>
      </c>
      <c r="D38" s="199">
        <f>17-10</f>
        <v>7</v>
      </c>
      <c r="E38" s="199">
        <v>7</v>
      </c>
      <c r="F38" s="253">
        <f t="shared" si="0"/>
        <v>0.58333333333333337</v>
      </c>
      <c r="G38" s="199">
        <v>0</v>
      </c>
      <c r="H38" s="199">
        <v>10</v>
      </c>
    </row>
    <row r="39" spans="1:8" x14ac:dyDescent="0.2">
      <c r="A39" s="189">
        <v>35</v>
      </c>
      <c r="B39" s="248">
        <v>1813211780</v>
      </c>
      <c r="C39" s="200" t="s">
        <v>271</v>
      </c>
      <c r="D39" s="199">
        <v>271</v>
      </c>
      <c r="E39" s="199">
        <v>0</v>
      </c>
      <c r="F39" s="253">
        <f t="shared" si="0"/>
        <v>0</v>
      </c>
      <c r="G39" s="199">
        <v>0</v>
      </c>
      <c r="H39" s="199">
        <f t="shared" ref="H39:H49" si="3">E39</f>
        <v>0</v>
      </c>
    </row>
    <row r="40" spans="1:8" x14ac:dyDescent="0.2">
      <c r="A40" s="189">
        <v>36</v>
      </c>
      <c r="B40" s="248">
        <v>1813212780</v>
      </c>
      <c r="C40" s="200" t="s">
        <v>1196</v>
      </c>
      <c r="D40" s="199">
        <v>0</v>
      </c>
      <c r="E40" s="199">
        <v>0</v>
      </c>
      <c r="F40" s="253">
        <f t="shared" si="0"/>
        <v>0</v>
      </c>
      <c r="G40" s="199">
        <v>0</v>
      </c>
      <c r="H40" s="199">
        <f t="shared" si="3"/>
        <v>0</v>
      </c>
    </row>
    <row r="41" spans="1:8" x14ac:dyDescent="0.2">
      <c r="A41" s="189">
        <v>37</v>
      </c>
      <c r="B41" s="248">
        <v>1813214780</v>
      </c>
      <c r="C41" s="200" t="s">
        <v>274</v>
      </c>
      <c r="D41" s="199">
        <v>166</v>
      </c>
      <c r="E41" s="199">
        <v>0</v>
      </c>
      <c r="F41" s="253">
        <f t="shared" si="0"/>
        <v>0</v>
      </c>
      <c r="G41" s="199">
        <v>0</v>
      </c>
      <c r="H41" s="199">
        <f t="shared" si="3"/>
        <v>0</v>
      </c>
    </row>
    <row r="42" spans="1:8" x14ac:dyDescent="0.2">
      <c r="A42" s="189">
        <v>38</v>
      </c>
      <c r="B42" s="248">
        <v>1813215780</v>
      </c>
      <c r="C42" s="200" t="s">
        <v>275</v>
      </c>
      <c r="D42" s="199">
        <v>283</v>
      </c>
      <c r="E42" s="199">
        <v>0</v>
      </c>
      <c r="F42" s="253">
        <f t="shared" si="0"/>
        <v>0</v>
      </c>
      <c r="G42" s="199">
        <v>0</v>
      </c>
      <c r="H42" s="199">
        <f t="shared" si="3"/>
        <v>0</v>
      </c>
    </row>
    <row r="43" spans="1:8" x14ac:dyDescent="0.2">
      <c r="A43" s="189">
        <v>39</v>
      </c>
      <c r="B43" s="248">
        <v>1813220780</v>
      </c>
      <c r="C43" s="200" t="s">
        <v>277</v>
      </c>
      <c r="D43" s="199">
        <v>259</v>
      </c>
      <c r="E43" s="199">
        <v>0</v>
      </c>
      <c r="F43" s="253">
        <f t="shared" si="0"/>
        <v>0</v>
      </c>
      <c r="G43" s="199">
        <v>0</v>
      </c>
      <c r="H43" s="199">
        <f t="shared" si="3"/>
        <v>0</v>
      </c>
    </row>
    <row r="44" spans="1:8" x14ac:dyDescent="0.2">
      <c r="A44" s="189">
        <v>40</v>
      </c>
      <c r="B44" s="248">
        <v>1813230780</v>
      </c>
      <c r="C44" s="200" t="s">
        <v>278</v>
      </c>
      <c r="D44" s="199">
        <v>224</v>
      </c>
      <c r="E44" s="199">
        <v>0</v>
      </c>
      <c r="F44" s="253">
        <f t="shared" si="0"/>
        <v>0</v>
      </c>
      <c r="G44" s="199">
        <v>0</v>
      </c>
      <c r="H44" s="199">
        <f t="shared" si="3"/>
        <v>0</v>
      </c>
    </row>
    <row r="45" spans="1:8" x14ac:dyDescent="0.2">
      <c r="A45" s="189">
        <v>41</v>
      </c>
      <c r="B45" s="248">
        <v>1813240780</v>
      </c>
      <c r="C45" s="200" t="s">
        <v>280</v>
      </c>
      <c r="D45" s="199">
        <v>96</v>
      </c>
      <c r="E45" s="199">
        <v>0</v>
      </c>
      <c r="F45" s="253">
        <f t="shared" si="0"/>
        <v>0</v>
      </c>
      <c r="G45" s="199">
        <v>0</v>
      </c>
      <c r="H45" s="199">
        <f t="shared" si="3"/>
        <v>0</v>
      </c>
    </row>
    <row r="46" spans="1:8" x14ac:dyDescent="0.2">
      <c r="A46" s="189">
        <v>42</v>
      </c>
      <c r="B46" s="248">
        <v>1813270780</v>
      </c>
      <c r="C46" s="200" t="s">
        <v>281</v>
      </c>
      <c r="D46" s="199">
        <v>370</v>
      </c>
      <c r="E46" s="199">
        <v>0</v>
      </c>
      <c r="F46" s="253">
        <f t="shared" si="0"/>
        <v>0</v>
      </c>
      <c r="G46" s="199">
        <v>0</v>
      </c>
      <c r="H46" s="199">
        <f t="shared" si="3"/>
        <v>0</v>
      </c>
    </row>
    <row r="47" spans="1:8" x14ac:dyDescent="0.2">
      <c r="A47" s="189">
        <v>43</v>
      </c>
      <c r="B47" s="248">
        <v>1813280780</v>
      </c>
      <c r="C47" s="200" t="s">
        <v>282</v>
      </c>
      <c r="D47" s="199">
        <v>278</v>
      </c>
      <c r="E47" s="199">
        <v>0</v>
      </c>
      <c r="F47" s="253">
        <f t="shared" si="0"/>
        <v>0</v>
      </c>
      <c r="G47" s="199">
        <v>0</v>
      </c>
      <c r="H47" s="199">
        <f t="shared" si="3"/>
        <v>0</v>
      </c>
    </row>
    <row r="48" spans="1:8" x14ac:dyDescent="0.2">
      <c r="A48" s="189">
        <v>44</v>
      </c>
      <c r="B48" s="248">
        <v>1813295780</v>
      </c>
      <c r="C48" s="200" t="s">
        <v>1098</v>
      </c>
      <c r="D48" s="199">
        <v>400</v>
      </c>
      <c r="E48" s="199">
        <v>1227</v>
      </c>
      <c r="F48" s="253">
        <f t="shared" si="0"/>
        <v>102.25</v>
      </c>
      <c r="G48" s="199">
        <v>253</v>
      </c>
      <c r="H48" s="199">
        <f t="shared" si="3"/>
        <v>1227</v>
      </c>
    </row>
    <row r="49" spans="1:8" x14ac:dyDescent="0.2">
      <c r="A49" s="189">
        <v>45</v>
      </c>
      <c r="B49" s="248">
        <v>1813296780</v>
      </c>
      <c r="C49" s="200" t="s">
        <v>1099</v>
      </c>
      <c r="D49" s="199">
        <v>300</v>
      </c>
      <c r="E49" s="199">
        <v>990</v>
      </c>
      <c r="F49" s="253">
        <f t="shared" si="0"/>
        <v>82.5</v>
      </c>
      <c r="G49" s="199">
        <v>413</v>
      </c>
      <c r="H49" s="199">
        <f t="shared" si="3"/>
        <v>990</v>
      </c>
    </row>
    <row r="50" spans="1:8" x14ac:dyDescent="0.2">
      <c r="A50" s="189">
        <v>46</v>
      </c>
      <c r="B50" s="248">
        <v>1813297780</v>
      </c>
      <c r="C50" s="200" t="s">
        <v>1100</v>
      </c>
      <c r="D50" s="199">
        <v>200</v>
      </c>
      <c r="E50" s="199">
        <v>550</v>
      </c>
      <c r="F50" s="253">
        <f t="shared" si="0"/>
        <v>45.833333333333336</v>
      </c>
      <c r="G50" s="199">
        <v>381</v>
      </c>
      <c r="H50" s="199">
        <v>850</v>
      </c>
    </row>
    <row r="51" spans="1:8" x14ac:dyDescent="0.2">
      <c r="A51" s="189">
        <v>47</v>
      </c>
      <c r="B51" s="248">
        <v>1813290780</v>
      </c>
      <c r="C51" s="200" t="s">
        <v>873</v>
      </c>
      <c r="D51" s="199">
        <v>210</v>
      </c>
      <c r="E51" s="199">
        <v>150</v>
      </c>
      <c r="F51" s="253">
        <f t="shared" si="0"/>
        <v>12.5</v>
      </c>
      <c r="G51" s="199">
        <v>0</v>
      </c>
      <c r="H51" s="199">
        <f>E51</f>
        <v>150</v>
      </c>
    </row>
    <row r="52" spans="1:8" ht="13.9" customHeight="1" x14ac:dyDescent="0.2">
      <c r="A52" s="189">
        <v>48</v>
      </c>
      <c r="B52" s="248">
        <v>1813291780</v>
      </c>
      <c r="C52" s="200" t="s">
        <v>874</v>
      </c>
      <c r="D52" s="199">
        <v>25</v>
      </c>
      <c r="E52" s="199">
        <v>25</v>
      </c>
      <c r="F52" s="253">
        <f t="shared" si="0"/>
        <v>2.0833333333333335</v>
      </c>
      <c r="G52" s="199">
        <v>0</v>
      </c>
      <c r="H52" s="199">
        <v>0</v>
      </c>
    </row>
    <row r="53" spans="1:8" x14ac:dyDescent="0.2">
      <c r="A53" s="189">
        <v>49</v>
      </c>
      <c r="B53" s="248">
        <v>1813292780</v>
      </c>
      <c r="C53" s="200" t="s">
        <v>875</v>
      </c>
      <c r="D53" s="199">
        <v>168</v>
      </c>
      <c r="E53" s="199">
        <v>168</v>
      </c>
      <c r="F53" s="253">
        <f t="shared" si="0"/>
        <v>14</v>
      </c>
      <c r="G53" s="199">
        <v>0</v>
      </c>
      <c r="H53" s="199">
        <f>E53</f>
        <v>168</v>
      </c>
    </row>
    <row r="54" spans="1:8" x14ac:dyDescent="0.2">
      <c r="A54" s="189">
        <v>50</v>
      </c>
      <c r="B54" s="248">
        <v>1813293780</v>
      </c>
      <c r="C54" s="200" t="s">
        <v>591</v>
      </c>
      <c r="D54" s="199">
        <v>38</v>
      </c>
      <c r="E54" s="199">
        <v>38</v>
      </c>
      <c r="F54" s="253">
        <f t="shared" si="0"/>
        <v>3.1666666666666665</v>
      </c>
      <c r="G54" s="199">
        <v>0</v>
      </c>
      <c r="H54" s="199">
        <v>0</v>
      </c>
    </row>
    <row r="55" spans="1:8" x14ac:dyDescent="0.2">
      <c r="A55" s="189">
        <v>51</v>
      </c>
      <c r="B55" s="189">
        <v>1813294780</v>
      </c>
      <c r="C55" s="189" t="s">
        <v>1035</v>
      </c>
      <c r="D55" s="199">
        <v>393</v>
      </c>
      <c r="E55" s="199">
        <v>0</v>
      </c>
      <c r="F55" s="253">
        <f t="shared" si="0"/>
        <v>0</v>
      </c>
      <c r="G55" s="199">
        <v>0</v>
      </c>
      <c r="H55" s="199">
        <f>E55</f>
        <v>0</v>
      </c>
    </row>
    <row r="56" spans="1:8" x14ac:dyDescent="0.2">
      <c r="A56" s="189">
        <v>52</v>
      </c>
      <c r="B56" s="189">
        <v>1813300780</v>
      </c>
      <c r="C56" s="189" t="s">
        <v>1036</v>
      </c>
      <c r="D56" s="199">
        <v>600</v>
      </c>
      <c r="E56" s="199">
        <v>600</v>
      </c>
      <c r="F56" s="253">
        <f t="shared" si="0"/>
        <v>50</v>
      </c>
      <c r="G56" s="199">
        <v>160</v>
      </c>
      <c r="H56" s="199">
        <v>800</v>
      </c>
    </row>
    <row r="57" spans="1:8" x14ac:dyDescent="0.2">
      <c r="A57" s="189">
        <v>53</v>
      </c>
      <c r="B57" s="248">
        <v>1813700780</v>
      </c>
      <c r="C57" s="200" t="s">
        <v>950</v>
      </c>
      <c r="D57" s="250">
        <v>65</v>
      </c>
      <c r="E57" s="250">
        <v>70</v>
      </c>
      <c r="F57" s="253">
        <f t="shared" si="0"/>
        <v>5.833333333333333</v>
      </c>
      <c r="G57" s="250">
        <v>11</v>
      </c>
      <c r="H57" s="250">
        <f>E57</f>
        <v>70</v>
      </c>
    </row>
    <row r="58" spans="1:8" x14ac:dyDescent="0.2">
      <c r="A58" s="189">
        <v>54</v>
      </c>
      <c r="B58" s="248">
        <v>1817200780</v>
      </c>
      <c r="C58" s="200" t="s">
        <v>951</v>
      </c>
      <c r="D58" s="199">
        <v>52</v>
      </c>
      <c r="E58" s="199">
        <v>26</v>
      </c>
      <c r="F58" s="253">
        <f t="shared" si="0"/>
        <v>2.1666666666666665</v>
      </c>
      <c r="G58" s="199">
        <v>0</v>
      </c>
      <c r="H58" s="250">
        <f t="shared" ref="H58:H60" si="4">E58</f>
        <v>26</v>
      </c>
    </row>
    <row r="59" spans="1:8" ht="14.45" customHeight="1" x14ac:dyDescent="0.2">
      <c r="A59" s="189">
        <v>55</v>
      </c>
      <c r="B59" s="248">
        <v>1822000780</v>
      </c>
      <c r="C59" s="200" t="s">
        <v>1066</v>
      </c>
      <c r="D59" s="199">
        <v>216</v>
      </c>
      <c r="E59" s="199">
        <v>220</v>
      </c>
      <c r="F59" s="253">
        <f t="shared" si="0"/>
        <v>18.333333333333332</v>
      </c>
      <c r="G59" s="199">
        <v>18</v>
      </c>
      <c r="H59" s="250">
        <f t="shared" si="4"/>
        <v>220</v>
      </c>
    </row>
    <row r="60" spans="1:8" x14ac:dyDescent="0.2">
      <c r="A60" s="189">
        <v>56</v>
      </c>
      <c r="B60" s="248">
        <v>1822100780</v>
      </c>
      <c r="C60" s="200" t="s">
        <v>296</v>
      </c>
      <c r="D60" s="199">
        <f>10-4</f>
        <v>6</v>
      </c>
      <c r="E60" s="199">
        <v>6</v>
      </c>
      <c r="F60" s="253">
        <f t="shared" si="0"/>
        <v>0.5</v>
      </c>
      <c r="G60" s="199">
        <v>4</v>
      </c>
      <c r="H60" s="250">
        <f t="shared" si="4"/>
        <v>6</v>
      </c>
    </row>
    <row r="61" spans="1:8" x14ac:dyDescent="0.2">
      <c r="A61" s="189">
        <v>57</v>
      </c>
      <c r="B61" s="248">
        <v>1822110780</v>
      </c>
      <c r="C61" s="200" t="s">
        <v>1062</v>
      </c>
      <c r="D61" s="199">
        <v>440</v>
      </c>
      <c r="E61" s="199">
        <v>350</v>
      </c>
      <c r="F61" s="253">
        <f t="shared" si="0"/>
        <v>29.166666666666668</v>
      </c>
      <c r="G61" s="199">
        <v>173</v>
      </c>
      <c r="H61" s="199">
        <v>350</v>
      </c>
    </row>
    <row r="62" spans="1:8" x14ac:dyDescent="0.2">
      <c r="A62" s="189">
        <v>58</v>
      </c>
      <c r="B62" s="248">
        <v>1822111780</v>
      </c>
      <c r="C62" s="200" t="s">
        <v>1142</v>
      </c>
      <c r="D62" s="199">
        <v>181</v>
      </c>
      <c r="E62" s="199">
        <v>180</v>
      </c>
      <c r="F62" s="253">
        <f t="shared" si="0"/>
        <v>15</v>
      </c>
      <c r="G62" s="199">
        <v>101</v>
      </c>
      <c r="H62" s="199">
        <f>E62-75</f>
        <v>105</v>
      </c>
    </row>
    <row r="63" spans="1:8" x14ac:dyDescent="0.2">
      <c r="A63" s="189">
        <v>59</v>
      </c>
      <c r="B63" s="189">
        <v>1822112780</v>
      </c>
      <c r="C63" s="254" t="s">
        <v>876</v>
      </c>
      <c r="D63" s="250">
        <v>1295</v>
      </c>
      <c r="E63" s="253">
        <v>1300</v>
      </c>
      <c r="F63" s="253">
        <f t="shared" si="0"/>
        <v>108.33333333333333</v>
      </c>
      <c r="G63" s="253">
        <v>0</v>
      </c>
      <c r="H63" s="253">
        <v>1452</v>
      </c>
    </row>
    <row r="64" spans="1:8" x14ac:dyDescent="0.2">
      <c r="A64" s="189">
        <v>60</v>
      </c>
      <c r="B64" s="248">
        <v>1822210780</v>
      </c>
      <c r="C64" s="200" t="s">
        <v>1198</v>
      </c>
      <c r="D64" s="199">
        <v>10</v>
      </c>
      <c r="E64" s="199">
        <v>10</v>
      </c>
      <c r="F64" s="253">
        <f t="shared" si="0"/>
        <v>0.83333333333333337</v>
      </c>
      <c r="G64" s="199">
        <v>4</v>
      </c>
      <c r="H64" s="199">
        <v>15</v>
      </c>
    </row>
    <row r="65" spans="1:8" x14ac:dyDescent="0.2">
      <c r="A65" s="189">
        <v>61</v>
      </c>
      <c r="B65" s="248">
        <v>1822222780</v>
      </c>
      <c r="C65" s="200" t="s">
        <v>300</v>
      </c>
      <c r="D65" s="199">
        <v>2</v>
      </c>
      <c r="E65" s="199">
        <v>2</v>
      </c>
      <c r="F65" s="253">
        <f t="shared" si="0"/>
        <v>0.16666666666666666</v>
      </c>
      <c r="G65" s="199">
        <v>0</v>
      </c>
      <c r="H65" s="250">
        <v>2.2000000000000002</v>
      </c>
    </row>
    <row r="66" spans="1:8" x14ac:dyDescent="0.2">
      <c r="A66" s="189">
        <v>62</v>
      </c>
      <c r="B66" s="248">
        <v>1822230780</v>
      </c>
      <c r="C66" s="200" t="s">
        <v>301</v>
      </c>
      <c r="D66" s="199">
        <v>6</v>
      </c>
      <c r="E66" s="199">
        <v>25</v>
      </c>
      <c r="F66" s="253">
        <f t="shared" si="0"/>
        <v>2.0833333333333335</v>
      </c>
      <c r="G66" s="199">
        <v>0</v>
      </c>
      <c r="H66" s="199">
        <f t="shared" ref="H66:H68" si="5">E66</f>
        <v>25</v>
      </c>
    </row>
    <row r="67" spans="1:8" x14ac:dyDescent="0.2">
      <c r="A67" s="189">
        <v>63</v>
      </c>
      <c r="B67" s="248">
        <v>1822300780</v>
      </c>
      <c r="C67" s="200" t="s">
        <v>457</v>
      </c>
      <c r="D67" s="199">
        <v>750</v>
      </c>
      <c r="E67" s="199">
        <f>750*0.9</f>
        <v>675</v>
      </c>
      <c r="F67" s="253">
        <f t="shared" si="0"/>
        <v>56.25</v>
      </c>
      <c r="G67" s="199">
        <v>267</v>
      </c>
      <c r="H67" s="199">
        <f t="shared" si="5"/>
        <v>675</v>
      </c>
    </row>
    <row r="68" spans="1:8" x14ac:dyDescent="0.2">
      <c r="A68" s="189">
        <v>64</v>
      </c>
      <c r="B68" s="248">
        <v>1825110780</v>
      </c>
      <c r="C68" s="200" t="s">
        <v>458</v>
      </c>
      <c r="D68" s="199">
        <v>2800</v>
      </c>
      <c r="E68" s="199">
        <v>2800</v>
      </c>
      <c r="F68" s="253">
        <f t="shared" si="0"/>
        <v>233.33333333333334</v>
      </c>
      <c r="G68" s="199">
        <v>251</v>
      </c>
      <c r="H68" s="199">
        <f t="shared" si="5"/>
        <v>2800</v>
      </c>
    </row>
    <row r="69" spans="1:8" x14ac:dyDescent="0.2">
      <c r="A69" s="189">
        <v>65</v>
      </c>
      <c r="B69" s="248">
        <v>1825111780</v>
      </c>
      <c r="C69" s="200" t="s">
        <v>306</v>
      </c>
      <c r="D69" s="199">
        <f>10-1</f>
        <v>9</v>
      </c>
      <c r="E69" s="199">
        <v>9</v>
      </c>
      <c r="F69" s="253">
        <f t="shared" si="0"/>
        <v>0.75</v>
      </c>
      <c r="G69" s="199">
        <v>3</v>
      </c>
      <c r="H69" s="199">
        <v>13</v>
      </c>
    </row>
    <row r="70" spans="1:8" x14ac:dyDescent="0.2">
      <c r="A70" s="189">
        <v>66</v>
      </c>
      <c r="B70" s="248">
        <v>1825112780</v>
      </c>
      <c r="C70" s="200" t="s">
        <v>877</v>
      </c>
      <c r="D70" s="199">
        <v>5</v>
      </c>
      <c r="E70" s="199">
        <v>5</v>
      </c>
      <c r="F70" s="253">
        <f t="shared" si="0"/>
        <v>0.41666666666666669</v>
      </c>
      <c r="G70" s="199">
        <v>0</v>
      </c>
      <c r="H70" s="199">
        <f>E70</f>
        <v>5</v>
      </c>
    </row>
    <row r="71" spans="1:8" x14ac:dyDescent="0.2">
      <c r="A71" s="189">
        <v>67</v>
      </c>
      <c r="B71" s="248">
        <v>1825113780</v>
      </c>
      <c r="C71" s="200" t="s">
        <v>307</v>
      </c>
      <c r="D71" s="199">
        <v>4</v>
      </c>
      <c r="E71" s="199">
        <v>4</v>
      </c>
      <c r="F71" s="253">
        <f t="shared" ref="F71:F97" si="6">E71/12</f>
        <v>0.33333333333333331</v>
      </c>
      <c r="G71" s="199">
        <v>2</v>
      </c>
      <c r="H71" s="199">
        <f>E71</f>
        <v>4</v>
      </c>
    </row>
    <row r="72" spans="1:8" x14ac:dyDescent="0.2">
      <c r="A72" s="189">
        <v>68</v>
      </c>
      <c r="B72" s="248">
        <v>1825114780</v>
      </c>
      <c r="C72" s="200" t="s">
        <v>879</v>
      </c>
      <c r="D72" s="199">
        <f>47-23</f>
        <v>24</v>
      </c>
      <c r="E72" s="199">
        <v>24</v>
      </c>
      <c r="F72" s="253">
        <f t="shared" si="6"/>
        <v>2</v>
      </c>
      <c r="G72" s="199">
        <v>13</v>
      </c>
      <c r="H72" s="199">
        <v>45</v>
      </c>
    </row>
    <row r="73" spans="1:8" x14ac:dyDescent="0.2">
      <c r="A73" s="189">
        <v>69</v>
      </c>
      <c r="B73" s="189">
        <v>1825115780</v>
      </c>
      <c r="C73" s="200" t="s">
        <v>308</v>
      </c>
      <c r="D73" s="199">
        <v>3</v>
      </c>
      <c r="E73" s="199">
        <v>3</v>
      </c>
      <c r="F73" s="253">
        <f t="shared" si="6"/>
        <v>0.25</v>
      </c>
      <c r="G73" s="199">
        <v>0</v>
      </c>
      <c r="H73" s="250">
        <v>3.3</v>
      </c>
    </row>
    <row r="74" spans="1:8" x14ac:dyDescent="0.2">
      <c r="A74" s="189">
        <v>70</v>
      </c>
      <c r="B74" s="189">
        <v>1825116780</v>
      </c>
      <c r="C74" s="254" t="s">
        <v>878</v>
      </c>
      <c r="D74" s="199">
        <v>41</v>
      </c>
      <c r="E74" s="199">
        <v>0</v>
      </c>
      <c r="F74" s="253">
        <f t="shared" si="6"/>
        <v>0</v>
      </c>
      <c r="G74" s="199">
        <v>0</v>
      </c>
      <c r="H74" s="199">
        <f t="shared" ref="H74:H86" si="7">E74</f>
        <v>0</v>
      </c>
    </row>
    <row r="75" spans="1:8" x14ac:dyDescent="0.2">
      <c r="A75" s="189">
        <v>71</v>
      </c>
      <c r="B75" s="248">
        <v>1826110780</v>
      </c>
      <c r="C75" s="200" t="s">
        <v>459</v>
      </c>
      <c r="D75" s="199">
        <v>143</v>
      </c>
      <c r="E75" s="199">
        <v>143</v>
      </c>
      <c r="F75" s="253">
        <f t="shared" si="6"/>
        <v>11.916666666666666</v>
      </c>
      <c r="G75" s="199">
        <v>0</v>
      </c>
      <c r="H75" s="199">
        <f t="shared" si="7"/>
        <v>143</v>
      </c>
    </row>
    <row r="76" spans="1:8" ht="13.9" customHeight="1" x14ac:dyDescent="0.2">
      <c r="A76" s="189">
        <v>72</v>
      </c>
      <c r="B76" s="352">
        <v>1826420780</v>
      </c>
      <c r="C76" s="252" t="s">
        <v>499</v>
      </c>
      <c r="D76" s="199">
        <v>88</v>
      </c>
      <c r="E76" s="199">
        <v>88</v>
      </c>
      <c r="F76" s="253">
        <f t="shared" si="6"/>
        <v>7.333333333333333</v>
      </c>
      <c r="G76" s="199">
        <v>9</v>
      </c>
      <c r="H76" s="199">
        <f t="shared" si="7"/>
        <v>88</v>
      </c>
    </row>
    <row r="77" spans="1:8" x14ac:dyDescent="0.2">
      <c r="A77" s="189">
        <v>73</v>
      </c>
      <c r="B77" s="189">
        <v>1827000780</v>
      </c>
      <c r="C77" s="200" t="s">
        <v>580</v>
      </c>
      <c r="D77" s="199">
        <f>475-2+4</f>
        <v>477</v>
      </c>
      <c r="E77" s="199">
        <v>477</v>
      </c>
      <c r="F77" s="253">
        <f t="shared" si="6"/>
        <v>39.75</v>
      </c>
      <c r="G77" s="199">
        <v>52</v>
      </c>
      <c r="H77" s="199">
        <v>500</v>
      </c>
    </row>
    <row r="78" spans="1:8" x14ac:dyDescent="0.2">
      <c r="A78" s="189">
        <v>74</v>
      </c>
      <c r="B78" s="189">
        <v>1827100780</v>
      </c>
      <c r="C78" s="200" t="s">
        <v>589</v>
      </c>
      <c r="D78" s="199">
        <f>95+1</f>
        <v>96</v>
      </c>
      <c r="E78" s="199">
        <v>96</v>
      </c>
      <c r="F78" s="253">
        <f t="shared" si="6"/>
        <v>8</v>
      </c>
      <c r="G78" s="199">
        <v>50</v>
      </c>
      <c r="H78" s="199">
        <v>100</v>
      </c>
    </row>
    <row r="79" spans="1:8" x14ac:dyDescent="0.2">
      <c r="A79" s="189">
        <v>75</v>
      </c>
      <c r="B79" s="189">
        <v>1827110780</v>
      </c>
      <c r="C79" s="189" t="s">
        <v>1037</v>
      </c>
      <c r="D79" s="199">
        <f>95+72</f>
        <v>167</v>
      </c>
      <c r="E79" s="199">
        <v>40</v>
      </c>
      <c r="F79" s="253">
        <f t="shared" si="6"/>
        <v>3.3333333333333335</v>
      </c>
      <c r="G79" s="199">
        <v>0</v>
      </c>
      <c r="H79" s="199">
        <v>34</v>
      </c>
    </row>
    <row r="80" spans="1:8" x14ac:dyDescent="0.2">
      <c r="A80" s="189">
        <v>76</v>
      </c>
      <c r="B80" s="189">
        <v>1827200780</v>
      </c>
      <c r="C80" s="200" t="s">
        <v>940</v>
      </c>
      <c r="D80" s="199">
        <v>190</v>
      </c>
      <c r="E80" s="199">
        <v>190</v>
      </c>
      <c r="F80" s="253">
        <f t="shared" si="6"/>
        <v>15.833333333333334</v>
      </c>
      <c r="G80" s="199">
        <v>106</v>
      </c>
      <c r="H80" s="199">
        <v>200</v>
      </c>
    </row>
    <row r="81" spans="1:8" x14ac:dyDescent="0.2">
      <c r="A81" s="189">
        <v>77</v>
      </c>
      <c r="B81" s="248">
        <v>1828000780</v>
      </c>
      <c r="C81" s="200" t="s">
        <v>461</v>
      </c>
      <c r="D81" s="250">
        <v>105</v>
      </c>
      <c r="E81" s="250">
        <v>105</v>
      </c>
      <c r="F81" s="253">
        <f t="shared" si="6"/>
        <v>8.75</v>
      </c>
      <c r="G81" s="250">
        <v>49</v>
      </c>
      <c r="H81" s="199">
        <f t="shared" si="7"/>
        <v>105</v>
      </c>
    </row>
    <row r="82" spans="1:8" x14ac:dyDescent="0.2">
      <c r="A82" s="189">
        <v>78</v>
      </c>
      <c r="B82" s="248">
        <v>1828100780</v>
      </c>
      <c r="C82" s="200" t="s">
        <v>462</v>
      </c>
      <c r="D82" s="199">
        <f>314-75+3</f>
        <v>242</v>
      </c>
      <c r="E82" s="199">
        <v>242</v>
      </c>
      <c r="F82" s="253">
        <f t="shared" si="6"/>
        <v>20.166666666666668</v>
      </c>
      <c r="G82" s="199">
        <v>32</v>
      </c>
      <c r="H82" s="199">
        <f t="shared" si="7"/>
        <v>242</v>
      </c>
    </row>
    <row r="83" spans="1:8" x14ac:dyDescent="0.2">
      <c r="A83" s="189">
        <v>79</v>
      </c>
      <c r="B83" s="248">
        <v>1828110780</v>
      </c>
      <c r="C83" s="200" t="s">
        <v>1071</v>
      </c>
      <c r="D83" s="199">
        <v>98</v>
      </c>
      <c r="E83" s="199">
        <v>30</v>
      </c>
      <c r="F83" s="253">
        <f t="shared" si="6"/>
        <v>2.5</v>
      </c>
      <c r="G83" s="199">
        <v>0</v>
      </c>
      <c r="H83" s="199">
        <f t="shared" si="7"/>
        <v>30</v>
      </c>
    </row>
    <row r="84" spans="1:8" x14ac:dyDescent="0.2">
      <c r="A84" s="189">
        <v>80</v>
      </c>
      <c r="B84" s="248">
        <v>1828120780</v>
      </c>
      <c r="C84" s="200" t="s">
        <v>313</v>
      </c>
      <c r="D84" s="250">
        <f>190-38</f>
        <v>152</v>
      </c>
      <c r="E84" s="250">
        <v>152</v>
      </c>
      <c r="F84" s="253">
        <f t="shared" si="6"/>
        <v>12.666666666666666</v>
      </c>
      <c r="G84" s="250">
        <v>150</v>
      </c>
      <c r="H84" s="199">
        <v>150</v>
      </c>
    </row>
    <row r="85" spans="1:8" x14ac:dyDescent="0.2">
      <c r="A85" s="189">
        <v>81</v>
      </c>
      <c r="B85" s="248">
        <v>1828200780</v>
      </c>
      <c r="C85" s="200" t="s">
        <v>1050</v>
      </c>
      <c r="D85" s="199">
        <v>114</v>
      </c>
      <c r="E85" s="199">
        <v>50</v>
      </c>
      <c r="F85" s="253">
        <f t="shared" si="6"/>
        <v>4.166666666666667</v>
      </c>
      <c r="G85" s="199">
        <v>14</v>
      </c>
      <c r="H85" s="199">
        <f t="shared" si="7"/>
        <v>50</v>
      </c>
    </row>
    <row r="86" spans="1:8" x14ac:dyDescent="0.2">
      <c r="A86" s="189">
        <v>82</v>
      </c>
      <c r="B86" s="248">
        <v>1860000780</v>
      </c>
      <c r="C86" s="254" t="s">
        <v>576</v>
      </c>
      <c r="D86" s="250">
        <v>105</v>
      </c>
      <c r="E86" s="250">
        <v>105</v>
      </c>
      <c r="F86" s="253">
        <f t="shared" si="6"/>
        <v>8.75</v>
      </c>
      <c r="G86" s="250">
        <v>22</v>
      </c>
      <c r="H86" s="199">
        <f t="shared" si="7"/>
        <v>105</v>
      </c>
    </row>
    <row r="87" spans="1:8" x14ac:dyDescent="0.2">
      <c r="A87" s="189">
        <v>83</v>
      </c>
      <c r="B87" s="248">
        <v>1913000780</v>
      </c>
      <c r="C87" s="200" t="s">
        <v>363</v>
      </c>
      <c r="D87" s="199">
        <v>2</v>
      </c>
      <c r="E87" s="199">
        <v>2</v>
      </c>
      <c r="F87" s="253">
        <f t="shared" si="6"/>
        <v>0.16666666666666666</v>
      </c>
      <c r="G87" s="199">
        <v>0</v>
      </c>
      <c r="H87" s="199">
        <f t="shared" ref="H87:H94" si="8">E87</f>
        <v>2</v>
      </c>
    </row>
    <row r="88" spans="1:8" x14ac:dyDescent="0.2">
      <c r="A88" s="189">
        <v>84</v>
      </c>
      <c r="B88" s="248">
        <v>1913100780</v>
      </c>
      <c r="C88" s="200" t="s">
        <v>948</v>
      </c>
      <c r="D88" s="199">
        <v>2</v>
      </c>
      <c r="E88" s="199">
        <v>2</v>
      </c>
      <c r="F88" s="253">
        <f t="shared" si="6"/>
        <v>0.16666666666666666</v>
      </c>
      <c r="G88" s="199">
        <v>0</v>
      </c>
      <c r="H88" s="250">
        <v>2.2000000000000002</v>
      </c>
    </row>
    <row r="89" spans="1:8" x14ac:dyDescent="0.2">
      <c r="A89" s="189">
        <v>85</v>
      </c>
      <c r="B89" s="248">
        <v>1933000780</v>
      </c>
      <c r="C89" s="200" t="s">
        <v>500</v>
      </c>
      <c r="D89" s="199">
        <f>57+2</f>
        <v>59</v>
      </c>
      <c r="E89" s="199">
        <v>60</v>
      </c>
      <c r="F89" s="253">
        <f t="shared" si="6"/>
        <v>5</v>
      </c>
      <c r="G89" s="199">
        <v>20</v>
      </c>
      <c r="H89" s="199">
        <f t="shared" si="8"/>
        <v>60</v>
      </c>
    </row>
    <row r="90" spans="1:8" x14ac:dyDescent="0.2">
      <c r="A90" s="189">
        <v>86</v>
      </c>
      <c r="B90" s="189">
        <v>1933100780</v>
      </c>
      <c r="C90" s="254" t="s">
        <v>501</v>
      </c>
      <c r="D90" s="199">
        <v>12</v>
      </c>
      <c r="E90" s="199">
        <v>12</v>
      </c>
      <c r="F90" s="253">
        <f t="shared" si="6"/>
        <v>1</v>
      </c>
      <c r="G90" s="199">
        <v>2</v>
      </c>
      <c r="H90" s="199">
        <f t="shared" si="8"/>
        <v>12</v>
      </c>
    </row>
    <row r="91" spans="1:8" x14ac:dyDescent="0.2">
      <c r="A91" s="189">
        <v>87</v>
      </c>
      <c r="B91" s="248">
        <v>1933200780</v>
      </c>
      <c r="C91" s="200" t="s">
        <v>1145</v>
      </c>
      <c r="D91" s="199">
        <v>50</v>
      </c>
      <c r="E91" s="199">
        <v>50</v>
      </c>
      <c r="F91" s="253">
        <f t="shared" si="6"/>
        <v>4.166666666666667</v>
      </c>
      <c r="G91" s="199">
        <v>0</v>
      </c>
      <c r="H91" s="199">
        <f t="shared" si="8"/>
        <v>50</v>
      </c>
    </row>
    <row r="92" spans="1:8" x14ac:dyDescent="0.2">
      <c r="A92" s="189">
        <v>88</v>
      </c>
      <c r="B92" s="248">
        <v>1933300780</v>
      </c>
      <c r="C92" s="200" t="s">
        <v>365</v>
      </c>
      <c r="D92" s="199">
        <v>14</v>
      </c>
      <c r="E92" s="199">
        <v>14</v>
      </c>
      <c r="F92" s="253">
        <f t="shared" si="6"/>
        <v>1.1666666666666667</v>
      </c>
      <c r="G92" s="199">
        <v>14</v>
      </c>
      <c r="H92" s="199">
        <f t="shared" si="8"/>
        <v>14</v>
      </c>
    </row>
    <row r="93" spans="1:8" x14ac:dyDescent="0.2">
      <c r="A93" s="189">
        <v>89</v>
      </c>
      <c r="B93" s="248">
        <v>1933500780</v>
      </c>
      <c r="C93" s="200" t="s">
        <v>880</v>
      </c>
      <c r="D93" s="199">
        <v>2</v>
      </c>
      <c r="E93" s="199">
        <v>2</v>
      </c>
      <c r="F93" s="253">
        <f t="shared" si="6"/>
        <v>0.16666666666666666</v>
      </c>
      <c r="G93" s="199">
        <v>0</v>
      </c>
      <c r="H93" s="250">
        <v>2.2000000000000002</v>
      </c>
    </row>
    <row r="94" spans="1:8" x14ac:dyDescent="0.2">
      <c r="A94" s="189">
        <v>90</v>
      </c>
      <c r="B94" s="248">
        <v>1933600780</v>
      </c>
      <c r="C94" s="200" t="s">
        <v>881</v>
      </c>
      <c r="D94" s="199">
        <v>84</v>
      </c>
      <c r="E94" s="199">
        <v>0</v>
      </c>
      <c r="F94" s="253">
        <f t="shared" si="6"/>
        <v>0</v>
      </c>
      <c r="G94" s="199">
        <v>0</v>
      </c>
      <c r="H94" s="199">
        <f t="shared" si="8"/>
        <v>0</v>
      </c>
    </row>
    <row r="95" spans="1:8" x14ac:dyDescent="0.2">
      <c r="A95" s="189">
        <v>91</v>
      </c>
      <c r="B95" s="248">
        <v>1943000780</v>
      </c>
      <c r="C95" s="200" t="s">
        <v>372</v>
      </c>
      <c r="D95" s="199">
        <v>80</v>
      </c>
      <c r="E95" s="199">
        <v>80</v>
      </c>
      <c r="F95" s="253">
        <f t="shared" si="6"/>
        <v>6.666666666666667</v>
      </c>
      <c r="G95" s="199">
        <v>0</v>
      </c>
      <c r="H95" s="199">
        <v>40</v>
      </c>
    </row>
    <row r="96" spans="1:8" x14ac:dyDescent="0.2">
      <c r="A96" s="189">
        <v>92</v>
      </c>
      <c r="B96" s="248">
        <v>1943100780</v>
      </c>
      <c r="C96" s="200" t="s">
        <v>373</v>
      </c>
      <c r="D96" s="199">
        <f>10+7</f>
        <v>17</v>
      </c>
      <c r="E96" s="199">
        <v>17</v>
      </c>
      <c r="F96" s="253">
        <f t="shared" si="6"/>
        <v>1.4166666666666667</v>
      </c>
      <c r="G96" s="199">
        <v>6</v>
      </c>
      <c r="H96" s="199">
        <v>30</v>
      </c>
    </row>
    <row r="97" spans="1:8" x14ac:dyDescent="0.2">
      <c r="A97" s="189">
        <v>93</v>
      </c>
      <c r="B97" s="248">
        <v>1943200780</v>
      </c>
      <c r="C97" s="200" t="s">
        <v>374</v>
      </c>
      <c r="D97" s="199">
        <v>2</v>
      </c>
      <c r="E97" s="199">
        <v>2</v>
      </c>
      <c r="F97" s="253">
        <f t="shared" si="6"/>
        <v>0.16666666666666666</v>
      </c>
      <c r="G97" s="199">
        <v>0</v>
      </c>
      <c r="H97" s="250">
        <v>2.2000000000000002</v>
      </c>
    </row>
    <row r="98" spans="1:8" ht="15" x14ac:dyDescent="0.25">
      <c r="A98" s="338"/>
      <c r="B98" s="462" t="s">
        <v>419</v>
      </c>
      <c r="C98" s="416"/>
      <c r="D98" s="348">
        <f>SUM(D5:D97)</f>
        <v>14292.5</v>
      </c>
      <c r="E98" s="348">
        <f>SUM(E5:E97)</f>
        <v>13773</v>
      </c>
      <c r="F98" s="348">
        <f>SUM(F5:F97)</f>
        <v>1147.7500000000007</v>
      </c>
      <c r="G98" s="348">
        <f>SUM(G5:G97)</f>
        <v>3711</v>
      </c>
      <c r="H98" s="348">
        <f>SUM(H5:H97)</f>
        <v>15484.324000000002</v>
      </c>
    </row>
    <row r="109" spans="1:8" ht="18" x14ac:dyDescent="0.25">
      <c r="D109" s="29"/>
    </row>
  </sheetData>
  <sortState xmlns:xlrd2="http://schemas.microsoft.com/office/spreadsheetml/2017/richdata2" ref="B5:D96">
    <sortCondition ref="B5:B96"/>
  </sortState>
  <mergeCells count="2">
    <mergeCell ref="B98:C98"/>
    <mergeCell ref="C2:H2"/>
  </mergeCells>
  <pageMargins left="0.15748031496062992" right="0.31496062992125984" top="0.74803149606299213" bottom="0.51181102362204722" header="0.31496062992125984" footer="0.31496062992125984"/>
  <pageSetup paperSize="9" scale="69" firstPageNumber="29" orientation="portrait" useFirstPageNumber="1" r:id="rId1"/>
  <headerFooter>
    <oddFooter>עמוד &amp;P</oddFooter>
  </headerFooter>
  <rowBreaks count="1" manualBreakCount="1">
    <brk id="54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4">
    <pageSetUpPr fitToPage="1"/>
  </sheetPr>
  <dimension ref="A2:J107"/>
  <sheetViews>
    <sheetView rightToLeft="1" topLeftCell="C6" zoomScale="110" zoomScaleNormal="110" zoomScaleSheetLayoutView="82" workbookViewId="0">
      <selection activeCell="E29" sqref="D29:E29"/>
    </sheetView>
  </sheetViews>
  <sheetFormatPr defaultRowHeight="14.25" x14ac:dyDescent="0.2"/>
  <cols>
    <col min="1" max="2" width="8.625" hidden="1" customWidth="1"/>
    <col min="3" max="3" width="4.875" customWidth="1"/>
    <col min="4" max="4" width="12.625" customWidth="1"/>
    <col min="5" max="5" width="30.75" style="23" customWidth="1"/>
    <col min="6" max="6" width="13" customWidth="1"/>
    <col min="7" max="7" width="14.25" customWidth="1"/>
    <col min="8" max="8" width="11.375" customWidth="1"/>
    <col min="9" max="9" width="12.75" customWidth="1"/>
    <col min="10" max="10" width="13.25" customWidth="1"/>
  </cols>
  <sheetData>
    <row r="2" spans="3:10" ht="24" customHeight="1" x14ac:dyDescent="0.2">
      <c r="D2" s="7">
        <v>782</v>
      </c>
      <c r="E2" s="461" t="s">
        <v>456</v>
      </c>
      <c r="F2" s="461"/>
      <c r="G2" s="461"/>
      <c r="H2" s="461"/>
      <c r="I2" s="461"/>
      <c r="J2" s="461"/>
    </row>
    <row r="4" spans="3:10" s="117" customFormat="1" ht="48.75" customHeight="1" x14ac:dyDescent="0.2">
      <c r="C4" s="334" t="s">
        <v>596</v>
      </c>
      <c r="D4" s="334" t="s">
        <v>0</v>
      </c>
      <c r="E4" s="335" t="s">
        <v>1</v>
      </c>
      <c r="F4" s="330" t="s">
        <v>1159</v>
      </c>
      <c r="G4" s="330" t="s">
        <v>1156</v>
      </c>
      <c r="H4" s="331" t="s">
        <v>1160</v>
      </c>
      <c r="I4" s="331" t="s">
        <v>1161</v>
      </c>
      <c r="J4" s="331" t="s">
        <v>1162</v>
      </c>
    </row>
    <row r="5" spans="3:10" ht="18" customHeight="1" x14ac:dyDescent="0.2">
      <c r="C5" s="189">
        <v>1</v>
      </c>
      <c r="D5" s="189">
        <v>1611000782</v>
      </c>
      <c r="E5" s="200" t="s">
        <v>1187</v>
      </c>
      <c r="F5" s="199">
        <v>8</v>
      </c>
      <c r="G5" s="189">
        <v>8</v>
      </c>
      <c r="H5" s="253">
        <f>G5/12</f>
        <v>0.66666666666666663</v>
      </c>
      <c r="I5" s="189">
        <v>4</v>
      </c>
      <c r="J5" s="189">
        <f>G5</f>
        <v>8</v>
      </c>
    </row>
    <row r="6" spans="3:10" ht="18" customHeight="1" x14ac:dyDescent="0.2">
      <c r="C6" s="189">
        <v>2</v>
      </c>
      <c r="D6" s="189">
        <v>1611200782</v>
      </c>
      <c r="E6" s="200" t="s">
        <v>502</v>
      </c>
      <c r="F6" s="199">
        <v>35</v>
      </c>
      <c r="G6" s="189">
        <v>35</v>
      </c>
      <c r="H6" s="253">
        <f t="shared" ref="H6:H69" si="0">G6/12</f>
        <v>2.9166666666666665</v>
      </c>
      <c r="I6" s="189">
        <v>10</v>
      </c>
      <c r="J6" s="189">
        <f t="shared" ref="J6" si="1">G6</f>
        <v>35</v>
      </c>
    </row>
    <row r="7" spans="3:10" ht="18" customHeight="1" x14ac:dyDescent="0.2">
      <c r="C7" s="189">
        <v>3</v>
      </c>
      <c r="D7" s="189">
        <v>1611300782</v>
      </c>
      <c r="E7" s="200" t="s">
        <v>967</v>
      </c>
      <c r="F7" s="199">
        <v>5</v>
      </c>
      <c r="G7" s="189">
        <v>5</v>
      </c>
      <c r="H7" s="253">
        <f t="shared" si="0"/>
        <v>0.41666666666666669</v>
      </c>
      <c r="I7" s="189">
        <v>0</v>
      </c>
      <c r="J7" s="253">
        <v>5.5</v>
      </c>
    </row>
    <row r="8" spans="3:10" ht="18" customHeight="1" x14ac:dyDescent="0.2">
      <c r="C8" s="189">
        <v>4</v>
      </c>
      <c r="D8" s="189">
        <v>1611400782</v>
      </c>
      <c r="E8" s="200" t="s">
        <v>159</v>
      </c>
      <c r="F8" s="199">
        <v>5</v>
      </c>
      <c r="G8" s="189">
        <v>5</v>
      </c>
      <c r="H8" s="253">
        <f t="shared" si="0"/>
        <v>0.41666666666666669</v>
      </c>
      <c r="I8" s="189">
        <v>0</v>
      </c>
      <c r="J8" s="253">
        <v>5.5</v>
      </c>
    </row>
    <row r="9" spans="3:10" ht="18" customHeight="1" x14ac:dyDescent="0.2">
      <c r="C9" s="189">
        <v>5</v>
      </c>
      <c r="D9" s="189">
        <v>1611500782</v>
      </c>
      <c r="E9" s="200" t="s">
        <v>503</v>
      </c>
      <c r="F9" s="199">
        <v>10</v>
      </c>
      <c r="G9" s="189">
        <v>10</v>
      </c>
      <c r="H9" s="253">
        <f t="shared" si="0"/>
        <v>0.83333333333333337</v>
      </c>
      <c r="I9" s="189">
        <v>1</v>
      </c>
      <c r="J9" s="189">
        <v>15</v>
      </c>
    </row>
    <row r="10" spans="3:10" ht="18" customHeight="1" x14ac:dyDescent="0.2">
      <c r="C10" s="189">
        <v>6</v>
      </c>
      <c r="D10" s="189">
        <v>1611510782</v>
      </c>
      <c r="E10" s="200" t="s">
        <v>160</v>
      </c>
      <c r="F10" s="199">
        <v>3</v>
      </c>
      <c r="G10" s="189">
        <v>3</v>
      </c>
      <c r="H10" s="253">
        <f t="shared" si="0"/>
        <v>0.25</v>
      </c>
      <c r="I10" s="189">
        <v>0</v>
      </c>
      <c r="J10" s="253">
        <v>3.3</v>
      </c>
    </row>
    <row r="11" spans="3:10" ht="18" customHeight="1" x14ac:dyDescent="0.2">
      <c r="C11" s="189">
        <v>7</v>
      </c>
      <c r="D11" s="189">
        <v>1611520782</v>
      </c>
      <c r="E11" s="200" t="s">
        <v>979</v>
      </c>
      <c r="F11" s="199">
        <v>30</v>
      </c>
      <c r="G11" s="189">
        <v>30</v>
      </c>
      <c r="H11" s="253">
        <f t="shared" si="0"/>
        <v>2.5</v>
      </c>
      <c r="I11" s="189">
        <v>9</v>
      </c>
      <c r="J11" s="189">
        <v>35</v>
      </c>
    </row>
    <row r="12" spans="3:10" ht="18" customHeight="1" x14ac:dyDescent="0.2">
      <c r="C12" s="189">
        <v>8</v>
      </c>
      <c r="D12" s="189">
        <v>1612000782</v>
      </c>
      <c r="E12" s="200" t="s">
        <v>505</v>
      </c>
      <c r="F12" s="199">
        <v>5</v>
      </c>
      <c r="G12" s="189">
        <v>5</v>
      </c>
      <c r="H12" s="253">
        <f t="shared" si="0"/>
        <v>0.41666666666666669</v>
      </c>
      <c r="I12" s="189">
        <v>1</v>
      </c>
      <c r="J12" s="189">
        <f>G12</f>
        <v>5</v>
      </c>
    </row>
    <row r="13" spans="3:10" ht="18" customHeight="1" x14ac:dyDescent="0.2">
      <c r="C13" s="189">
        <v>9</v>
      </c>
      <c r="D13" s="189">
        <v>1612100782</v>
      </c>
      <c r="E13" s="200" t="s">
        <v>165</v>
      </c>
      <c r="F13" s="199">
        <v>1</v>
      </c>
      <c r="G13" s="189">
        <v>1</v>
      </c>
      <c r="H13" s="253">
        <f t="shared" si="0"/>
        <v>8.3333333333333329E-2</v>
      </c>
      <c r="I13" s="189">
        <v>0</v>
      </c>
      <c r="J13" s="253">
        <v>2.2000000000000002</v>
      </c>
    </row>
    <row r="14" spans="3:10" ht="18" customHeight="1" x14ac:dyDescent="0.2">
      <c r="C14" s="189">
        <v>10</v>
      </c>
      <c r="D14" s="189">
        <v>1613000782</v>
      </c>
      <c r="E14" s="200" t="s">
        <v>506</v>
      </c>
      <c r="F14" s="199">
        <v>130</v>
      </c>
      <c r="G14" s="189">
        <v>130</v>
      </c>
      <c r="H14" s="253">
        <f t="shared" si="0"/>
        <v>10.833333333333334</v>
      </c>
      <c r="I14" s="189">
        <v>2</v>
      </c>
      <c r="J14" s="189">
        <f t="shared" ref="J14:J39" si="2">G14</f>
        <v>130</v>
      </c>
    </row>
    <row r="15" spans="3:10" ht="18" customHeight="1" x14ac:dyDescent="0.2">
      <c r="C15" s="189">
        <v>11</v>
      </c>
      <c r="D15" s="189">
        <v>1613200782</v>
      </c>
      <c r="E15" s="200" t="s">
        <v>508</v>
      </c>
      <c r="F15" s="199">
        <v>50</v>
      </c>
      <c r="G15" s="189">
        <v>50</v>
      </c>
      <c r="H15" s="253">
        <f t="shared" si="0"/>
        <v>4.166666666666667</v>
      </c>
      <c r="I15" s="189">
        <v>0</v>
      </c>
      <c r="J15" s="189">
        <v>60</v>
      </c>
    </row>
    <row r="16" spans="3:10" ht="18" customHeight="1" x14ac:dyDescent="0.2">
      <c r="C16" s="189">
        <v>12</v>
      </c>
      <c r="D16" s="189">
        <v>1613300782</v>
      </c>
      <c r="E16" s="200" t="s">
        <v>509</v>
      </c>
      <c r="F16" s="199">
        <f>47-20</f>
        <v>27</v>
      </c>
      <c r="G16" s="189">
        <v>20</v>
      </c>
      <c r="H16" s="253">
        <f t="shared" si="0"/>
        <v>1.6666666666666667</v>
      </c>
      <c r="I16" s="189">
        <v>9</v>
      </c>
      <c r="J16" s="189">
        <v>18</v>
      </c>
    </row>
    <row r="17" spans="3:10" ht="18" customHeight="1" x14ac:dyDescent="0.2">
      <c r="C17" s="189">
        <v>13</v>
      </c>
      <c r="D17" s="189">
        <v>1613400782</v>
      </c>
      <c r="E17" s="200" t="s">
        <v>510</v>
      </c>
      <c r="F17" s="199">
        <v>5</v>
      </c>
      <c r="G17" s="189">
        <v>5</v>
      </c>
      <c r="H17" s="253">
        <f t="shared" si="0"/>
        <v>0.41666666666666669</v>
      </c>
      <c r="I17" s="189">
        <v>0</v>
      </c>
      <c r="J17" s="189">
        <f t="shared" si="2"/>
        <v>5</v>
      </c>
    </row>
    <row r="18" spans="3:10" ht="18" customHeight="1" x14ac:dyDescent="0.2">
      <c r="C18" s="189">
        <v>14</v>
      </c>
      <c r="D18" s="189">
        <v>1613500782</v>
      </c>
      <c r="E18" s="200" t="s">
        <v>511</v>
      </c>
      <c r="F18" s="199">
        <v>10</v>
      </c>
      <c r="G18" s="189">
        <v>10</v>
      </c>
      <c r="H18" s="253">
        <f t="shared" si="0"/>
        <v>0.83333333333333337</v>
      </c>
      <c r="I18" s="189">
        <v>0</v>
      </c>
      <c r="J18" s="189">
        <v>7</v>
      </c>
    </row>
    <row r="19" spans="3:10" ht="18" customHeight="1" x14ac:dyDescent="0.2">
      <c r="C19" s="189">
        <v>15</v>
      </c>
      <c r="D19" s="189">
        <v>1613600782</v>
      </c>
      <c r="E19" s="200" t="s">
        <v>512</v>
      </c>
      <c r="F19" s="199">
        <v>10</v>
      </c>
      <c r="G19" s="189">
        <v>10</v>
      </c>
      <c r="H19" s="253">
        <f t="shared" si="0"/>
        <v>0.83333333333333337</v>
      </c>
      <c r="I19" s="189">
        <v>7</v>
      </c>
      <c r="J19" s="189">
        <f t="shared" si="2"/>
        <v>10</v>
      </c>
    </row>
    <row r="20" spans="3:10" ht="18" customHeight="1" x14ac:dyDescent="0.2">
      <c r="C20" s="189">
        <v>16</v>
      </c>
      <c r="D20" s="189">
        <v>1613900782</v>
      </c>
      <c r="E20" s="200" t="s">
        <v>174</v>
      </c>
      <c r="F20" s="257">
        <v>10</v>
      </c>
      <c r="G20" s="189">
        <v>10</v>
      </c>
      <c r="H20" s="253">
        <f t="shared" si="0"/>
        <v>0.83333333333333337</v>
      </c>
      <c r="I20" s="189">
        <v>1</v>
      </c>
      <c r="J20" s="189">
        <v>11</v>
      </c>
    </row>
    <row r="21" spans="3:10" ht="18" customHeight="1" x14ac:dyDescent="0.2">
      <c r="C21" s="189">
        <v>17</v>
      </c>
      <c r="D21" s="189">
        <v>1613910782</v>
      </c>
      <c r="E21" s="200" t="s">
        <v>175</v>
      </c>
      <c r="F21" s="199">
        <v>4</v>
      </c>
      <c r="G21" s="189">
        <v>4</v>
      </c>
      <c r="H21" s="253">
        <f t="shared" si="0"/>
        <v>0.33333333333333331</v>
      </c>
      <c r="I21" s="189">
        <v>0</v>
      </c>
      <c r="J21" s="253">
        <v>4.4000000000000004</v>
      </c>
    </row>
    <row r="22" spans="3:10" ht="18" customHeight="1" x14ac:dyDescent="0.2">
      <c r="C22" s="189">
        <v>18</v>
      </c>
      <c r="D22" s="189">
        <v>1613920782</v>
      </c>
      <c r="E22" s="200" t="s">
        <v>957</v>
      </c>
      <c r="F22" s="199">
        <v>12</v>
      </c>
      <c r="G22" s="189">
        <v>12</v>
      </c>
      <c r="H22" s="253">
        <f t="shared" si="0"/>
        <v>1</v>
      </c>
      <c r="I22" s="189">
        <v>2</v>
      </c>
      <c r="J22" s="189">
        <v>20</v>
      </c>
    </row>
    <row r="23" spans="3:10" ht="15.6" customHeight="1" x14ac:dyDescent="0.2">
      <c r="C23" s="189">
        <v>19</v>
      </c>
      <c r="D23" s="189">
        <v>1617000782</v>
      </c>
      <c r="E23" s="200" t="s">
        <v>183</v>
      </c>
      <c r="F23" s="250">
        <v>1000</v>
      </c>
      <c r="G23" s="189">
        <v>500</v>
      </c>
      <c r="H23" s="253">
        <f t="shared" si="0"/>
        <v>41.666666666666664</v>
      </c>
      <c r="I23" s="189">
        <v>281</v>
      </c>
      <c r="J23" s="189">
        <f t="shared" si="2"/>
        <v>500</v>
      </c>
    </row>
    <row r="24" spans="3:10" ht="18" customHeight="1" x14ac:dyDescent="0.2">
      <c r="C24" s="189">
        <v>20</v>
      </c>
      <c r="D24" s="189">
        <v>1621000782</v>
      </c>
      <c r="E24" s="200" t="s">
        <v>513</v>
      </c>
      <c r="F24" s="199">
        <v>35</v>
      </c>
      <c r="G24" s="189">
        <v>35</v>
      </c>
      <c r="H24" s="253">
        <f t="shared" si="0"/>
        <v>2.9166666666666665</v>
      </c>
      <c r="I24" s="189">
        <v>8</v>
      </c>
      <c r="J24" s="189">
        <f t="shared" si="2"/>
        <v>35</v>
      </c>
    </row>
    <row r="25" spans="3:10" ht="18" customHeight="1" x14ac:dyDescent="0.2">
      <c r="C25" s="189">
        <v>21</v>
      </c>
      <c r="D25" s="189">
        <v>1621100782</v>
      </c>
      <c r="E25" s="200" t="s">
        <v>514</v>
      </c>
      <c r="F25" s="199">
        <v>3</v>
      </c>
      <c r="G25" s="189">
        <v>3</v>
      </c>
      <c r="H25" s="253">
        <f t="shared" si="0"/>
        <v>0.25</v>
      </c>
      <c r="I25" s="189">
        <v>2</v>
      </c>
      <c r="J25" s="189">
        <f t="shared" si="2"/>
        <v>3</v>
      </c>
    </row>
    <row r="26" spans="3:10" ht="18" customHeight="1" x14ac:dyDescent="0.2">
      <c r="C26" s="189">
        <v>22</v>
      </c>
      <c r="D26" s="189">
        <v>1621300782</v>
      </c>
      <c r="E26" s="200" t="s">
        <v>574</v>
      </c>
      <c r="F26" s="199">
        <v>9</v>
      </c>
      <c r="G26" s="189">
        <v>9</v>
      </c>
      <c r="H26" s="253">
        <f t="shared" si="0"/>
        <v>0.75</v>
      </c>
      <c r="I26" s="189">
        <v>3</v>
      </c>
      <c r="J26" s="189">
        <f t="shared" si="2"/>
        <v>9</v>
      </c>
    </row>
    <row r="27" spans="3:10" ht="18" customHeight="1" x14ac:dyDescent="0.2">
      <c r="C27" s="189">
        <v>23</v>
      </c>
      <c r="D27" s="189">
        <v>1623000782</v>
      </c>
      <c r="E27" s="200" t="s">
        <v>515</v>
      </c>
      <c r="F27" s="199">
        <v>2</v>
      </c>
      <c r="G27" s="189">
        <v>2</v>
      </c>
      <c r="H27" s="253">
        <f t="shared" si="0"/>
        <v>0.16666666666666666</v>
      </c>
      <c r="I27" s="189">
        <v>0</v>
      </c>
      <c r="J27" s="189">
        <f t="shared" si="2"/>
        <v>2</v>
      </c>
    </row>
    <row r="28" spans="3:10" ht="18" customHeight="1" x14ac:dyDescent="0.2">
      <c r="C28" s="189">
        <v>24</v>
      </c>
      <c r="D28" s="189">
        <v>1623100782</v>
      </c>
      <c r="E28" s="200" t="s">
        <v>1218</v>
      </c>
      <c r="F28" s="199">
        <v>70</v>
      </c>
      <c r="G28" s="189">
        <v>70</v>
      </c>
      <c r="H28" s="253">
        <f t="shared" si="0"/>
        <v>5.833333333333333</v>
      </c>
      <c r="I28" s="189">
        <v>25</v>
      </c>
      <c r="J28" s="189">
        <f t="shared" si="2"/>
        <v>70</v>
      </c>
    </row>
    <row r="29" spans="3:10" ht="18" customHeight="1" x14ac:dyDescent="0.2">
      <c r="C29" s="189">
        <v>25</v>
      </c>
      <c r="D29" s="189">
        <v>1623110782</v>
      </c>
      <c r="E29" s="200" t="s">
        <v>840</v>
      </c>
      <c r="F29" s="199">
        <v>25</v>
      </c>
      <c r="G29" s="189">
        <v>25</v>
      </c>
      <c r="H29" s="253">
        <f t="shared" si="0"/>
        <v>2.0833333333333335</v>
      </c>
      <c r="I29" s="189">
        <v>0</v>
      </c>
      <c r="J29" s="189">
        <f t="shared" si="2"/>
        <v>25</v>
      </c>
    </row>
    <row r="30" spans="3:10" ht="18" customHeight="1" x14ac:dyDescent="0.2">
      <c r="C30" s="189">
        <v>26</v>
      </c>
      <c r="D30" s="189">
        <v>1623200782</v>
      </c>
      <c r="E30" s="200" t="s">
        <v>1121</v>
      </c>
      <c r="F30" s="199">
        <v>6</v>
      </c>
      <c r="G30" s="189">
        <v>6</v>
      </c>
      <c r="H30" s="253">
        <f t="shared" si="0"/>
        <v>0.5</v>
      </c>
      <c r="I30" s="189">
        <v>1</v>
      </c>
      <c r="J30" s="189">
        <f>G30</f>
        <v>6</v>
      </c>
    </row>
    <row r="31" spans="3:10" ht="18" customHeight="1" x14ac:dyDescent="0.2">
      <c r="C31" s="189">
        <v>27</v>
      </c>
      <c r="D31" s="189">
        <v>1623300782</v>
      </c>
      <c r="E31" s="200" t="s">
        <v>1122</v>
      </c>
      <c r="F31" s="250">
        <f>3.8-0.76</f>
        <v>3.04</v>
      </c>
      <c r="G31" s="189">
        <v>3</v>
      </c>
      <c r="H31" s="253">
        <f t="shared" si="0"/>
        <v>0.25</v>
      </c>
      <c r="I31" s="189">
        <v>1</v>
      </c>
      <c r="J31" s="189">
        <v>6</v>
      </c>
    </row>
    <row r="32" spans="3:10" ht="18" customHeight="1" x14ac:dyDescent="0.2">
      <c r="C32" s="189">
        <v>28</v>
      </c>
      <c r="D32" s="189">
        <v>1623500782</v>
      </c>
      <c r="E32" s="189" t="s">
        <v>1147</v>
      </c>
      <c r="F32" s="199">
        <v>120</v>
      </c>
      <c r="G32" s="189">
        <v>120</v>
      </c>
      <c r="H32" s="253">
        <f t="shared" si="0"/>
        <v>10</v>
      </c>
      <c r="I32" s="189">
        <v>1</v>
      </c>
      <c r="J32" s="189">
        <f t="shared" si="2"/>
        <v>120</v>
      </c>
    </row>
    <row r="33" spans="3:10" ht="18" customHeight="1" x14ac:dyDescent="0.2">
      <c r="C33" s="189">
        <v>29</v>
      </c>
      <c r="D33" s="189">
        <v>1711000782</v>
      </c>
      <c r="E33" s="200" t="s">
        <v>518</v>
      </c>
      <c r="F33" s="199">
        <f>228-3</f>
        <v>225</v>
      </c>
      <c r="G33" s="189">
        <v>225</v>
      </c>
      <c r="H33" s="253">
        <f t="shared" si="0"/>
        <v>18.75</v>
      </c>
      <c r="I33" s="189">
        <v>47</v>
      </c>
      <c r="J33" s="189">
        <f t="shared" si="2"/>
        <v>225</v>
      </c>
    </row>
    <row r="34" spans="3:10" ht="18" customHeight="1" x14ac:dyDescent="0.2">
      <c r="C34" s="189">
        <v>30</v>
      </c>
      <c r="D34" s="189">
        <v>1711100782</v>
      </c>
      <c r="E34" s="200" t="s">
        <v>519</v>
      </c>
      <c r="F34" s="199">
        <f>11-4</f>
        <v>7</v>
      </c>
      <c r="G34" s="189">
        <v>7</v>
      </c>
      <c r="H34" s="253">
        <f t="shared" si="0"/>
        <v>0.58333333333333337</v>
      </c>
      <c r="I34" s="189">
        <v>4</v>
      </c>
      <c r="J34" s="189">
        <f t="shared" si="2"/>
        <v>7</v>
      </c>
    </row>
    <row r="35" spans="3:10" ht="18" customHeight="1" x14ac:dyDescent="0.2">
      <c r="C35" s="189">
        <v>31</v>
      </c>
      <c r="D35" s="189">
        <v>1711120782</v>
      </c>
      <c r="E35" s="200" t="s">
        <v>1189</v>
      </c>
      <c r="F35" s="199"/>
      <c r="G35" s="189"/>
      <c r="H35" s="253"/>
      <c r="I35" s="189"/>
      <c r="J35" s="253">
        <v>1.65</v>
      </c>
    </row>
    <row r="36" spans="3:10" ht="18" customHeight="1" x14ac:dyDescent="0.2">
      <c r="C36" s="189">
        <v>32</v>
      </c>
      <c r="D36" s="189">
        <v>1711400782</v>
      </c>
      <c r="E36" s="200" t="s">
        <v>1123</v>
      </c>
      <c r="F36" s="199">
        <v>2</v>
      </c>
      <c r="G36" s="189">
        <v>2</v>
      </c>
      <c r="H36" s="253">
        <f t="shared" si="0"/>
        <v>0.16666666666666666</v>
      </c>
      <c r="I36" s="189">
        <v>0</v>
      </c>
      <c r="J36" s="253">
        <v>2.2000000000000002</v>
      </c>
    </row>
    <row r="37" spans="3:10" ht="18" customHeight="1" x14ac:dyDescent="0.2">
      <c r="C37" s="189">
        <v>33</v>
      </c>
      <c r="D37" s="189">
        <v>1712400782</v>
      </c>
      <c r="E37" s="200" t="s">
        <v>520</v>
      </c>
      <c r="F37" s="199">
        <f>2600-260</f>
        <v>2340</v>
      </c>
      <c r="G37" s="189">
        <f>3133-260</f>
        <v>2873</v>
      </c>
      <c r="H37" s="253">
        <f t="shared" si="0"/>
        <v>239.41666666666666</v>
      </c>
      <c r="I37" s="189">
        <v>0</v>
      </c>
      <c r="J37" s="189">
        <f>G37-681</f>
        <v>2192</v>
      </c>
    </row>
    <row r="38" spans="3:10" s="133" customFormat="1" ht="15.6" customHeight="1" x14ac:dyDescent="0.2">
      <c r="C38" s="189">
        <v>34</v>
      </c>
      <c r="D38" s="249">
        <v>1712410782</v>
      </c>
      <c r="E38" s="340" t="s">
        <v>523</v>
      </c>
      <c r="F38" s="257">
        <f>7144-412-1004</f>
        <v>5728</v>
      </c>
      <c r="G38" s="249">
        <f>7144-1004</f>
        <v>6140</v>
      </c>
      <c r="H38" s="253">
        <f t="shared" si="0"/>
        <v>511.66666666666669</v>
      </c>
      <c r="I38" s="249">
        <v>816</v>
      </c>
      <c r="J38" s="189">
        <f t="shared" si="2"/>
        <v>6140</v>
      </c>
    </row>
    <row r="39" spans="3:10" ht="14.45" customHeight="1" x14ac:dyDescent="0.2">
      <c r="C39" s="189">
        <v>35</v>
      </c>
      <c r="D39" s="189">
        <v>1712411782</v>
      </c>
      <c r="E39" s="200" t="s">
        <v>1102</v>
      </c>
      <c r="F39" s="199">
        <v>465</v>
      </c>
      <c r="G39" s="189">
        <v>1110</v>
      </c>
      <c r="H39" s="253">
        <f t="shared" si="0"/>
        <v>92.5</v>
      </c>
      <c r="I39" s="189">
        <v>79</v>
      </c>
      <c r="J39" s="189">
        <f t="shared" si="2"/>
        <v>1110</v>
      </c>
    </row>
    <row r="40" spans="3:10" ht="18" customHeight="1" x14ac:dyDescent="0.2">
      <c r="C40" s="189">
        <v>36</v>
      </c>
      <c r="D40" s="189">
        <v>1712420782</v>
      </c>
      <c r="E40" s="200" t="s">
        <v>947</v>
      </c>
      <c r="F40" s="199">
        <v>2</v>
      </c>
      <c r="G40" s="189">
        <v>2</v>
      </c>
      <c r="H40" s="253">
        <f t="shared" si="0"/>
        <v>0.16666666666666666</v>
      </c>
      <c r="I40" s="189">
        <v>0</v>
      </c>
      <c r="J40" s="253">
        <v>2.2000000000000002</v>
      </c>
    </row>
    <row r="41" spans="3:10" ht="18" customHeight="1" x14ac:dyDescent="0.2">
      <c r="C41" s="189">
        <v>37</v>
      </c>
      <c r="D41" s="189">
        <v>1721100782</v>
      </c>
      <c r="E41" s="200" t="s">
        <v>524</v>
      </c>
      <c r="F41" s="199">
        <v>5</v>
      </c>
      <c r="G41" s="189">
        <v>4</v>
      </c>
      <c r="H41" s="253">
        <f t="shared" si="0"/>
        <v>0.33333333333333331</v>
      </c>
      <c r="I41" s="189">
        <v>2</v>
      </c>
      <c r="J41" s="189">
        <v>10</v>
      </c>
    </row>
    <row r="42" spans="3:10" ht="18" customHeight="1" x14ac:dyDescent="0.2">
      <c r="C42" s="189">
        <v>38</v>
      </c>
      <c r="D42" s="189">
        <v>1721200782</v>
      </c>
      <c r="E42" s="200" t="s">
        <v>525</v>
      </c>
      <c r="F42" s="199">
        <v>10</v>
      </c>
      <c r="G42" s="189">
        <v>10</v>
      </c>
      <c r="H42" s="253">
        <f t="shared" si="0"/>
        <v>0.83333333333333337</v>
      </c>
      <c r="I42" s="189">
        <v>0</v>
      </c>
      <c r="J42" s="189">
        <v>2</v>
      </c>
    </row>
    <row r="43" spans="3:10" ht="18" customHeight="1" x14ac:dyDescent="0.2">
      <c r="C43" s="189">
        <v>39</v>
      </c>
      <c r="D43" s="189">
        <v>1721400782</v>
      </c>
      <c r="E43" s="200" t="s">
        <v>1118</v>
      </c>
      <c r="F43" s="199">
        <v>0</v>
      </c>
      <c r="G43" s="189">
        <v>4</v>
      </c>
      <c r="H43" s="253">
        <f t="shared" si="0"/>
        <v>0.33333333333333331</v>
      </c>
      <c r="I43" s="189">
        <v>0</v>
      </c>
      <c r="J43" s="189">
        <f>G43</f>
        <v>4</v>
      </c>
    </row>
    <row r="44" spans="3:10" ht="18" customHeight="1" x14ac:dyDescent="0.2">
      <c r="C44" s="189">
        <v>40</v>
      </c>
      <c r="D44" s="189">
        <v>1723000782</v>
      </c>
      <c r="E44" s="200" t="s">
        <v>224</v>
      </c>
      <c r="F44" s="199">
        <v>3</v>
      </c>
      <c r="G44" s="189">
        <v>3</v>
      </c>
      <c r="H44" s="253">
        <f t="shared" si="0"/>
        <v>0.25</v>
      </c>
      <c r="I44" s="189">
        <v>0</v>
      </c>
      <c r="J44" s="189">
        <f t="shared" ref="J44:J45" si="3">G44</f>
        <v>3</v>
      </c>
    </row>
    <row r="45" spans="3:10" ht="18" customHeight="1" x14ac:dyDescent="0.2">
      <c r="C45" s="189">
        <v>41</v>
      </c>
      <c r="D45" s="189">
        <v>1732000782</v>
      </c>
      <c r="E45" s="200" t="s">
        <v>944</v>
      </c>
      <c r="F45" s="250">
        <v>5</v>
      </c>
      <c r="G45" s="189">
        <v>5</v>
      </c>
      <c r="H45" s="253">
        <f t="shared" si="0"/>
        <v>0.41666666666666669</v>
      </c>
      <c r="I45" s="189">
        <v>2</v>
      </c>
      <c r="J45" s="189">
        <f t="shared" si="3"/>
        <v>5</v>
      </c>
    </row>
    <row r="46" spans="3:10" ht="18" customHeight="1" x14ac:dyDescent="0.2">
      <c r="C46" s="189">
        <v>42</v>
      </c>
      <c r="D46" s="189">
        <v>1746000782</v>
      </c>
      <c r="E46" s="200" t="s">
        <v>529</v>
      </c>
      <c r="F46" s="199">
        <v>0</v>
      </c>
      <c r="G46" s="189">
        <v>-14</v>
      </c>
      <c r="H46" s="253">
        <v>0</v>
      </c>
      <c r="I46" s="189">
        <v>0</v>
      </c>
      <c r="J46" s="189">
        <v>10</v>
      </c>
    </row>
    <row r="47" spans="3:10" ht="18" customHeight="1" x14ac:dyDescent="0.2">
      <c r="C47" s="189">
        <v>43</v>
      </c>
      <c r="D47" s="189">
        <v>1761000782</v>
      </c>
      <c r="E47" s="200" t="s">
        <v>250</v>
      </c>
      <c r="F47" s="199">
        <v>3</v>
      </c>
      <c r="G47" s="189">
        <v>3</v>
      </c>
      <c r="H47" s="253">
        <f t="shared" si="0"/>
        <v>0.25</v>
      </c>
      <c r="I47" s="189">
        <v>0</v>
      </c>
      <c r="J47" s="253">
        <v>3.3</v>
      </c>
    </row>
    <row r="48" spans="3:10" ht="18" customHeight="1" x14ac:dyDescent="0.2">
      <c r="C48" s="189">
        <v>44</v>
      </c>
      <c r="D48" s="189">
        <v>1772000782</v>
      </c>
      <c r="E48" s="200" t="s">
        <v>1069</v>
      </c>
      <c r="F48" s="199">
        <v>59</v>
      </c>
      <c r="G48" s="189">
        <v>59</v>
      </c>
      <c r="H48" s="253">
        <f t="shared" si="0"/>
        <v>4.916666666666667</v>
      </c>
      <c r="I48" s="189">
        <v>15</v>
      </c>
      <c r="J48" s="189">
        <f t="shared" ref="J48:J60" si="4">G48</f>
        <v>59</v>
      </c>
    </row>
    <row r="49" spans="3:10" ht="18" customHeight="1" x14ac:dyDescent="0.2">
      <c r="C49" s="189">
        <v>45</v>
      </c>
      <c r="D49" s="189">
        <v>1811600782</v>
      </c>
      <c r="E49" s="200" t="s">
        <v>1219</v>
      </c>
      <c r="F49" s="341">
        <v>1</v>
      </c>
      <c r="G49" s="253">
        <v>1</v>
      </c>
      <c r="H49" s="253">
        <f t="shared" si="0"/>
        <v>8.3333333333333329E-2</v>
      </c>
      <c r="I49" s="253">
        <v>0</v>
      </c>
      <c r="J49" s="253">
        <v>1.1000000000000001</v>
      </c>
    </row>
    <row r="50" spans="3:10" ht="18" customHeight="1" x14ac:dyDescent="0.2">
      <c r="C50" s="189">
        <v>46</v>
      </c>
      <c r="D50" s="189">
        <v>1812200782</v>
      </c>
      <c r="E50" s="200" t="s">
        <v>267</v>
      </c>
      <c r="F50" s="199">
        <v>800</v>
      </c>
      <c r="G50" s="189">
        <v>800</v>
      </c>
      <c r="H50" s="253">
        <f t="shared" si="0"/>
        <v>66.666666666666671</v>
      </c>
      <c r="I50" s="189">
        <v>8</v>
      </c>
      <c r="J50" s="189">
        <v>650</v>
      </c>
    </row>
    <row r="51" spans="3:10" ht="18" customHeight="1" x14ac:dyDescent="0.2">
      <c r="C51" s="189">
        <v>47</v>
      </c>
      <c r="D51" s="261">
        <v>1812210782</v>
      </c>
      <c r="E51" s="258" t="s">
        <v>530</v>
      </c>
      <c r="F51" s="199">
        <v>46</v>
      </c>
      <c r="G51" s="189">
        <v>46</v>
      </c>
      <c r="H51" s="253">
        <f t="shared" si="0"/>
        <v>3.8333333333333335</v>
      </c>
      <c r="I51" s="189">
        <v>23</v>
      </c>
      <c r="J51" s="189">
        <f t="shared" si="4"/>
        <v>46</v>
      </c>
    </row>
    <row r="52" spans="3:10" ht="18" customHeight="1" x14ac:dyDescent="0.2">
      <c r="C52" s="189">
        <v>48</v>
      </c>
      <c r="D52" s="261">
        <v>1812220782</v>
      </c>
      <c r="E52" s="258" t="s">
        <v>531</v>
      </c>
      <c r="F52" s="199">
        <v>53</v>
      </c>
      <c r="G52" s="189">
        <v>53</v>
      </c>
      <c r="H52" s="253">
        <f t="shared" si="0"/>
        <v>4.416666666666667</v>
      </c>
      <c r="I52" s="189">
        <v>13</v>
      </c>
      <c r="J52" s="189">
        <f t="shared" si="4"/>
        <v>53</v>
      </c>
    </row>
    <row r="53" spans="3:10" ht="18" customHeight="1" x14ac:dyDescent="0.2">
      <c r="C53" s="189">
        <v>49</v>
      </c>
      <c r="D53" s="261">
        <v>1812230782</v>
      </c>
      <c r="E53" s="258" t="s">
        <v>532</v>
      </c>
      <c r="F53" s="199">
        <v>33</v>
      </c>
      <c r="G53" s="189">
        <v>36</v>
      </c>
      <c r="H53" s="253">
        <f t="shared" si="0"/>
        <v>3</v>
      </c>
      <c r="I53" s="189">
        <v>9</v>
      </c>
      <c r="J53" s="189">
        <f t="shared" si="4"/>
        <v>36</v>
      </c>
    </row>
    <row r="54" spans="3:10" ht="18" customHeight="1" x14ac:dyDescent="0.2">
      <c r="C54" s="189">
        <v>50</v>
      </c>
      <c r="D54" s="261">
        <v>1812270782</v>
      </c>
      <c r="E54" s="258" t="s">
        <v>536</v>
      </c>
      <c r="F54" s="199">
        <v>19</v>
      </c>
      <c r="G54" s="189">
        <v>20</v>
      </c>
      <c r="H54" s="253">
        <f t="shared" si="0"/>
        <v>1.6666666666666667</v>
      </c>
      <c r="I54" s="189">
        <v>10</v>
      </c>
      <c r="J54" s="189">
        <f t="shared" si="4"/>
        <v>20</v>
      </c>
    </row>
    <row r="55" spans="3:10" ht="18" customHeight="1" x14ac:dyDescent="0.2">
      <c r="C55" s="189">
        <v>51</v>
      </c>
      <c r="D55" s="261">
        <v>1812291782</v>
      </c>
      <c r="E55" s="258" t="s">
        <v>1199</v>
      </c>
      <c r="F55" s="342">
        <v>1</v>
      </c>
      <c r="G55" s="253">
        <v>1</v>
      </c>
      <c r="H55" s="253">
        <f t="shared" si="0"/>
        <v>8.3333333333333329E-2</v>
      </c>
      <c r="I55" s="253">
        <v>0</v>
      </c>
      <c r="J55" s="253">
        <v>1.1000000000000001</v>
      </c>
    </row>
    <row r="56" spans="3:10" ht="18" customHeight="1" x14ac:dyDescent="0.2">
      <c r="C56" s="189">
        <v>52</v>
      </c>
      <c r="D56" s="261">
        <v>1812292782</v>
      </c>
      <c r="E56" s="258" t="s">
        <v>539</v>
      </c>
      <c r="F56" s="250">
        <v>159</v>
      </c>
      <c r="G56" s="253">
        <v>170</v>
      </c>
      <c r="H56" s="253">
        <f t="shared" si="0"/>
        <v>14.166666666666666</v>
      </c>
      <c r="I56" s="253">
        <v>8</v>
      </c>
      <c r="J56" s="189">
        <f t="shared" si="4"/>
        <v>170</v>
      </c>
    </row>
    <row r="57" spans="3:10" ht="18" customHeight="1" x14ac:dyDescent="0.2">
      <c r="C57" s="189">
        <v>53</v>
      </c>
      <c r="D57" s="261">
        <v>1812293782</v>
      </c>
      <c r="E57" s="258" t="s">
        <v>540</v>
      </c>
      <c r="F57" s="250">
        <v>12</v>
      </c>
      <c r="G57" s="253">
        <v>12</v>
      </c>
      <c r="H57" s="253">
        <f t="shared" si="0"/>
        <v>1</v>
      </c>
      <c r="I57" s="253">
        <v>2</v>
      </c>
      <c r="J57" s="189">
        <f t="shared" si="4"/>
        <v>12</v>
      </c>
    </row>
    <row r="58" spans="3:10" ht="18" customHeight="1" x14ac:dyDescent="0.2">
      <c r="C58" s="189">
        <v>54</v>
      </c>
      <c r="D58" s="189">
        <v>1816696782</v>
      </c>
      <c r="E58" s="258" t="s">
        <v>884</v>
      </c>
      <c r="F58" s="250">
        <v>15</v>
      </c>
      <c r="G58" s="253">
        <v>15</v>
      </c>
      <c r="H58" s="253">
        <f t="shared" si="0"/>
        <v>1.25</v>
      </c>
      <c r="I58" s="253">
        <v>0</v>
      </c>
      <c r="J58" s="189">
        <f t="shared" si="4"/>
        <v>15</v>
      </c>
    </row>
    <row r="59" spans="3:10" ht="18" customHeight="1" x14ac:dyDescent="0.2">
      <c r="C59" s="189">
        <v>55</v>
      </c>
      <c r="D59" s="261">
        <v>1812297782</v>
      </c>
      <c r="E59" s="243" t="s">
        <v>1007</v>
      </c>
      <c r="F59" s="250">
        <v>0</v>
      </c>
      <c r="G59" s="253">
        <v>10</v>
      </c>
      <c r="H59" s="253">
        <f t="shared" si="0"/>
        <v>0.83333333333333337</v>
      </c>
      <c r="I59" s="253">
        <v>0</v>
      </c>
      <c r="J59" s="189">
        <f t="shared" si="4"/>
        <v>10</v>
      </c>
    </row>
    <row r="60" spans="3:10" ht="18" customHeight="1" x14ac:dyDescent="0.2">
      <c r="C60" s="189">
        <v>56</v>
      </c>
      <c r="D60" s="261">
        <v>1812310782</v>
      </c>
      <c r="E60" s="258" t="s">
        <v>543</v>
      </c>
      <c r="F60" s="250">
        <v>66</v>
      </c>
      <c r="G60" s="253">
        <v>65</v>
      </c>
      <c r="H60" s="253">
        <f t="shared" si="0"/>
        <v>5.416666666666667</v>
      </c>
      <c r="I60" s="253">
        <v>32</v>
      </c>
      <c r="J60" s="189">
        <f t="shared" si="4"/>
        <v>65</v>
      </c>
    </row>
    <row r="61" spans="3:10" ht="18" customHeight="1" x14ac:dyDescent="0.2">
      <c r="C61" s="189">
        <v>57</v>
      </c>
      <c r="D61" s="261">
        <v>1812320782</v>
      </c>
      <c r="E61" s="258" t="s">
        <v>544</v>
      </c>
      <c r="F61" s="342">
        <v>113</v>
      </c>
      <c r="G61" s="253">
        <v>111</v>
      </c>
      <c r="H61" s="253">
        <f t="shared" si="0"/>
        <v>9.25</v>
      </c>
      <c r="I61" s="253">
        <v>29</v>
      </c>
      <c r="J61" s="253">
        <v>112</v>
      </c>
    </row>
    <row r="62" spans="3:10" ht="18" customHeight="1" x14ac:dyDescent="0.2">
      <c r="C62" s="189">
        <v>58</v>
      </c>
      <c r="D62" s="261">
        <v>1812330782</v>
      </c>
      <c r="E62" s="258" t="s">
        <v>545</v>
      </c>
      <c r="F62" s="343">
        <v>38</v>
      </c>
      <c r="G62" s="189">
        <v>40</v>
      </c>
      <c r="H62" s="253">
        <f t="shared" si="0"/>
        <v>3.3333333333333335</v>
      </c>
      <c r="I62" s="189">
        <v>17</v>
      </c>
      <c r="J62" s="189">
        <f>G62</f>
        <v>40</v>
      </c>
    </row>
    <row r="63" spans="3:10" ht="18" customHeight="1" x14ac:dyDescent="0.2">
      <c r="C63" s="189">
        <v>59</v>
      </c>
      <c r="D63" s="261">
        <v>1812340782</v>
      </c>
      <c r="E63" s="258" t="s">
        <v>546</v>
      </c>
      <c r="F63" s="199">
        <v>18</v>
      </c>
      <c r="G63" s="189">
        <v>20</v>
      </c>
      <c r="H63" s="253">
        <f t="shared" si="0"/>
        <v>1.6666666666666667</v>
      </c>
      <c r="I63" s="189">
        <v>9</v>
      </c>
      <c r="J63" s="189">
        <f>G63</f>
        <v>20</v>
      </c>
    </row>
    <row r="64" spans="3:10" ht="18" customHeight="1" x14ac:dyDescent="0.2">
      <c r="C64" s="189">
        <v>60</v>
      </c>
      <c r="D64" s="189">
        <v>1812400782</v>
      </c>
      <c r="E64" s="189" t="s">
        <v>1182</v>
      </c>
      <c r="F64" s="199">
        <v>240</v>
      </c>
      <c r="G64" s="189">
        <v>240</v>
      </c>
      <c r="H64" s="253">
        <f t="shared" si="0"/>
        <v>20</v>
      </c>
      <c r="I64" s="189">
        <v>0</v>
      </c>
      <c r="J64" s="189">
        <v>200</v>
      </c>
    </row>
    <row r="65" spans="3:10" ht="18" customHeight="1" x14ac:dyDescent="0.2">
      <c r="C65" s="189">
        <v>61</v>
      </c>
      <c r="D65" s="189">
        <v>1812420782</v>
      </c>
      <c r="E65" s="200" t="s">
        <v>548</v>
      </c>
      <c r="F65" s="199">
        <v>5</v>
      </c>
      <c r="G65" s="189">
        <v>5</v>
      </c>
      <c r="H65" s="253">
        <f t="shared" si="0"/>
        <v>0.41666666666666669</v>
      </c>
      <c r="I65" s="189">
        <v>0</v>
      </c>
      <c r="J65" s="189">
        <f>G65</f>
        <v>5</v>
      </c>
    </row>
    <row r="66" spans="3:10" ht="18" customHeight="1" x14ac:dyDescent="0.2">
      <c r="C66" s="189">
        <v>62</v>
      </c>
      <c r="D66" s="189">
        <v>1812430782</v>
      </c>
      <c r="E66" s="200" t="s">
        <v>549</v>
      </c>
      <c r="F66" s="199">
        <v>5</v>
      </c>
      <c r="G66" s="189">
        <v>5</v>
      </c>
      <c r="H66" s="253">
        <f t="shared" si="0"/>
        <v>0.41666666666666669</v>
      </c>
      <c r="I66" s="189">
        <v>1</v>
      </c>
      <c r="J66" s="189">
        <v>8</v>
      </c>
    </row>
    <row r="67" spans="3:10" ht="18" customHeight="1" x14ac:dyDescent="0.2">
      <c r="C67" s="189">
        <v>63</v>
      </c>
      <c r="D67" s="189">
        <v>1812440782</v>
      </c>
      <c r="E67" s="200" t="s">
        <v>550</v>
      </c>
      <c r="F67" s="199">
        <v>1</v>
      </c>
      <c r="G67" s="189">
        <v>1</v>
      </c>
      <c r="H67" s="253">
        <f t="shared" si="0"/>
        <v>8.3333333333333329E-2</v>
      </c>
      <c r="I67" s="189">
        <v>0</v>
      </c>
      <c r="J67" s="189">
        <f>G67</f>
        <v>1</v>
      </c>
    </row>
    <row r="68" spans="3:10" ht="18" customHeight="1" x14ac:dyDescent="0.2">
      <c r="C68" s="189">
        <v>64</v>
      </c>
      <c r="D68" s="189">
        <v>1812450782</v>
      </c>
      <c r="E68" s="200" t="s">
        <v>551</v>
      </c>
      <c r="F68" s="199">
        <v>5</v>
      </c>
      <c r="G68" s="189">
        <v>5</v>
      </c>
      <c r="H68" s="253">
        <f t="shared" si="0"/>
        <v>0.41666666666666669</v>
      </c>
      <c r="I68" s="189">
        <v>0</v>
      </c>
      <c r="J68" s="189">
        <f>G68</f>
        <v>5</v>
      </c>
    </row>
    <row r="69" spans="3:10" ht="18" customHeight="1" x14ac:dyDescent="0.2">
      <c r="C69" s="189">
        <v>65</v>
      </c>
      <c r="D69" s="189">
        <v>1812460782</v>
      </c>
      <c r="E69" s="200" t="s">
        <v>552</v>
      </c>
      <c r="F69" s="199">
        <v>5</v>
      </c>
      <c r="G69" s="189">
        <v>5</v>
      </c>
      <c r="H69" s="253">
        <f t="shared" si="0"/>
        <v>0.41666666666666669</v>
      </c>
      <c r="I69" s="189">
        <v>1</v>
      </c>
      <c r="J69" s="189">
        <v>8</v>
      </c>
    </row>
    <row r="70" spans="3:10" ht="18" customHeight="1" x14ac:dyDescent="0.2">
      <c r="C70" s="189">
        <v>66</v>
      </c>
      <c r="D70" s="189">
        <v>1812470782</v>
      </c>
      <c r="E70" s="200" t="s">
        <v>553</v>
      </c>
      <c r="F70" s="199">
        <v>1</v>
      </c>
      <c r="G70" s="189">
        <v>1</v>
      </c>
      <c r="H70" s="253">
        <f t="shared" ref="H70:H96" si="5">G70/12</f>
        <v>8.3333333333333329E-2</v>
      </c>
      <c r="I70" s="189">
        <v>0</v>
      </c>
      <c r="J70" s="189">
        <f>G70</f>
        <v>1</v>
      </c>
    </row>
    <row r="71" spans="3:10" ht="18" customHeight="1" x14ac:dyDescent="0.2">
      <c r="C71" s="189">
        <v>67</v>
      </c>
      <c r="D71" s="189">
        <v>1812490782</v>
      </c>
      <c r="E71" s="200" t="s">
        <v>554</v>
      </c>
      <c r="F71" s="199">
        <v>1</v>
      </c>
      <c r="G71" s="189">
        <v>2</v>
      </c>
      <c r="H71" s="253">
        <f t="shared" si="5"/>
        <v>0.16666666666666666</v>
      </c>
      <c r="I71" s="189">
        <v>0</v>
      </c>
      <c r="J71" s="253">
        <v>2.2000000000000002</v>
      </c>
    </row>
    <row r="72" spans="3:10" ht="18" customHeight="1" x14ac:dyDescent="0.2">
      <c r="C72" s="189">
        <v>68</v>
      </c>
      <c r="D72" s="189">
        <v>1812491782</v>
      </c>
      <c r="E72" s="200" t="s">
        <v>555</v>
      </c>
      <c r="F72" s="199">
        <v>2</v>
      </c>
      <c r="G72" s="189">
        <v>2</v>
      </c>
      <c r="H72" s="253">
        <f t="shared" si="5"/>
        <v>0.16666666666666666</v>
      </c>
      <c r="I72" s="189">
        <v>0</v>
      </c>
      <c r="J72" s="253">
        <v>2.2000000000000002</v>
      </c>
    </row>
    <row r="73" spans="3:10" ht="18" customHeight="1" x14ac:dyDescent="0.2">
      <c r="C73" s="189">
        <v>69</v>
      </c>
      <c r="D73" s="189">
        <v>1813210782</v>
      </c>
      <c r="E73" s="200" t="s">
        <v>556</v>
      </c>
      <c r="F73" s="250">
        <v>4</v>
      </c>
      <c r="G73" s="253">
        <v>4</v>
      </c>
      <c r="H73" s="253">
        <f t="shared" si="5"/>
        <v>0.33333333333333331</v>
      </c>
      <c r="I73" s="253">
        <v>2</v>
      </c>
      <c r="J73" s="189">
        <f t="shared" ref="J73" si="6">G73</f>
        <v>4</v>
      </c>
    </row>
    <row r="74" spans="3:10" ht="18" customHeight="1" x14ac:dyDescent="0.2">
      <c r="C74" s="189">
        <v>70</v>
      </c>
      <c r="D74" s="189">
        <v>1813310782</v>
      </c>
      <c r="E74" s="200" t="s">
        <v>1095</v>
      </c>
      <c r="F74" s="250">
        <v>121</v>
      </c>
      <c r="G74" s="253">
        <v>200</v>
      </c>
      <c r="H74" s="253">
        <f t="shared" si="5"/>
        <v>16.666666666666668</v>
      </c>
      <c r="I74" s="253">
        <v>116</v>
      </c>
      <c r="J74" s="253">
        <v>400</v>
      </c>
    </row>
    <row r="75" spans="3:10" ht="18" customHeight="1" x14ac:dyDescent="0.2">
      <c r="C75" s="189">
        <v>71</v>
      </c>
      <c r="D75" s="189">
        <v>1813212782</v>
      </c>
      <c r="E75" s="200" t="s">
        <v>900</v>
      </c>
      <c r="F75" s="250">
        <v>870</v>
      </c>
      <c r="G75" s="253">
        <v>760</v>
      </c>
      <c r="H75" s="253">
        <f t="shared" si="5"/>
        <v>63.333333333333336</v>
      </c>
      <c r="I75" s="253">
        <v>0</v>
      </c>
      <c r="J75" s="253">
        <f>G75</f>
        <v>760</v>
      </c>
    </row>
    <row r="76" spans="3:10" ht="18" customHeight="1" x14ac:dyDescent="0.2">
      <c r="C76" s="189">
        <v>72</v>
      </c>
      <c r="D76" s="261">
        <v>1813320782</v>
      </c>
      <c r="E76" s="258" t="s">
        <v>557</v>
      </c>
      <c r="F76" s="250">
        <v>74</v>
      </c>
      <c r="G76" s="253">
        <v>74</v>
      </c>
      <c r="H76" s="253">
        <f t="shared" si="5"/>
        <v>6.166666666666667</v>
      </c>
      <c r="I76" s="253">
        <v>14</v>
      </c>
      <c r="J76" s="253">
        <f t="shared" ref="J76:J96" si="7">G76</f>
        <v>74</v>
      </c>
    </row>
    <row r="77" spans="3:10" ht="18" customHeight="1" x14ac:dyDescent="0.2">
      <c r="C77" s="189">
        <v>73</v>
      </c>
      <c r="D77" s="189">
        <v>1813710782</v>
      </c>
      <c r="E77" s="200" t="s">
        <v>949</v>
      </c>
      <c r="F77" s="250">
        <v>1</v>
      </c>
      <c r="G77" s="253">
        <v>1</v>
      </c>
      <c r="H77" s="253">
        <f t="shared" si="5"/>
        <v>8.3333333333333329E-2</v>
      </c>
      <c r="I77" s="253">
        <v>0</v>
      </c>
      <c r="J77" s="253">
        <v>1.1000000000000001</v>
      </c>
    </row>
    <row r="78" spans="3:10" ht="18" customHeight="1" x14ac:dyDescent="0.2">
      <c r="C78" s="189">
        <v>74</v>
      </c>
      <c r="D78" s="189">
        <v>1813720782</v>
      </c>
      <c r="E78" s="200" t="s">
        <v>558</v>
      </c>
      <c r="F78" s="250">
        <v>1</v>
      </c>
      <c r="G78" s="253">
        <v>2</v>
      </c>
      <c r="H78" s="253">
        <f t="shared" si="5"/>
        <v>0.16666666666666666</v>
      </c>
      <c r="I78" s="253">
        <v>0</v>
      </c>
      <c r="J78" s="253">
        <f t="shared" si="7"/>
        <v>2</v>
      </c>
    </row>
    <row r="79" spans="3:10" s="6" customFormat="1" ht="18" customHeight="1" x14ac:dyDescent="0.2">
      <c r="C79" s="189">
        <v>75</v>
      </c>
      <c r="D79" s="189">
        <v>1813730782</v>
      </c>
      <c r="E79" s="200" t="s">
        <v>942</v>
      </c>
      <c r="F79" s="250">
        <v>25</v>
      </c>
      <c r="G79" s="253">
        <v>25</v>
      </c>
      <c r="H79" s="253">
        <f t="shared" si="5"/>
        <v>2.0833333333333335</v>
      </c>
      <c r="I79" s="253">
        <v>0</v>
      </c>
      <c r="J79" s="253">
        <f t="shared" si="7"/>
        <v>25</v>
      </c>
    </row>
    <row r="80" spans="3:10" ht="18" customHeight="1" x14ac:dyDescent="0.2">
      <c r="C80" s="189">
        <v>76</v>
      </c>
      <c r="D80" s="189">
        <v>1815500782</v>
      </c>
      <c r="E80" s="200" t="s">
        <v>559</v>
      </c>
      <c r="F80" s="250">
        <v>5</v>
      </c>
      <c r="G80" s="253">
        <v>5</v>
      </c>
      <c r="H80" s="253">
        <f t="shared" si="5"/>
        <v>0.41666666666666669</v>
      </c>
      <c r="I80" s="253">
        <v>0</v>
      </c>
      <c r="J80" s="253">
        <f t="shared" si="7"/>
        <v>5</v>
      </c>
    </row>
    <row r="81" spans="3:10" ht="18" customHeight="1" x14ac:dyDescent="0.2">
      <c r="C81" s="189">
        <v>77</v>
      </c>
      <c r="D81" s="189">
        <v>1817200782</v>
      </c>
      <c r="E81" s="200" t="s">
        <v>952</v>
      </c>
      <c r="F81" s="250">
        <v>28</v>
      </c>
      <c r="G81" s="253">
        <v>28</v>
      </c>
      <c r="H81" s="253">
        <f t="shared" si="5"/>
        <v>2.3333333333333335</v>
      </c>
      <c r="I81" s="253">
        <v>0</v>
      </c>
      <c r="J81" s="253">
        <f t="shared" si="7"/>
        <v>28</v>
      </c>
    </row>
    <row r="82" spans="3:10" ht="18" customHeight="1" x14ac:dyDescent="0.2">
      <c r="C82" s="189">
        <v>78</v>
      </c>
      <c r="D82" s="189">
        <v>1817210782</v>
      </c>
      <c r="E82" s="200" t="s">
        <v>286</v>
      </c>
      <c r="F82" s="250">
        <v>1</v>
      </c>
      <c r="G82" s="253">
        <v>1</v>
      </c>
      <c r="H82" s="253">
        <f t="shared" si="5"/>
        <v>8.3333333333333329E-2</v>
      </c>
      <c r="I82" s="253">
        <v>0</v>
      </c>
      <c r="J82" s="253">
        <v>1.1000000000000001</v>
      </c>
    </row>
    <row r="83" spans="3:10" ht="18" customHeight="1" x14ac:dyDescent="0.2">
      <c r="C83" s="189">
        <v>79</v>
      </c>
      <c r="D83" s="189">
        <v>1817220782</v>
      </c>
      <c r="E83" s="200" t="s">
        <v>953</v>
      </c>
      <c r="F83" s="250">
        <v>24</v>
      </c>
      <c r="G83" s="253">
        <v>12</v>
      </c>
      <c r="H83" s="253">
        <f t="shared" si="5"/>
        <v>1</v>
      </c>
      <c r="I83" s="253">
        <v>0</v>
      </c>
      <c r="J83" s="253">
        <f t="shared" si="7"/>
        <v>12</v>
      </c>
    </row>
    <row r="84" spans="3:10" ht="18" customHeight="1" x14ac:dyDescent="0.2">
      <c r="C84" s="189">
        <v>80</v>
      </c>
      <c r="D84" s="189">
        <v>1817300782</v>
      </c>
      <c r="E84" s="200" t="s">
        <v>289</v>
      </c>
      <c r="F84" s="250">
        <v>30</v>
      </c>
      <c r="G84" s="253">
        <v>30</v>
      </c>
      <c r="H84" s="253">
        <f t="shared" si="5"/>
        <v>2.5</v>
      </c>
      <c r="I84" s="253">
        <v>2</v>
      </c>
      <c r="J84" s="253">
        <v>45</v>
      </c>
    </row>
    <row r="85" spans="3:10" ht="18" customHeight="1" x14ac:dyDescent="0.2">
      <c r="C85" s="189">
        <v>81</v>
      </c>
      <c r="D85" s="189">
        <v>1817310782</v>
      </c>
      <c r="E85" s="200" t="s">
        <v>560</v>
      </c>
      <c r="F85" s="250">
        <v>12</v>
      </c>
      <c r="G85" s="253">
        <v>12</v>
      </c>
      <c r="H85" s="253">
        <f t="shared" si="5"/>
        <v>1</v>
      </c>
      <c r="I85" s="253">
        <v>6</v>
      </c>
      <c r="J85" s="253">
        <f t="shared" si="7"/>
        <v>12</v>
      </c>
    </row>
    <row r="86" spans="3:10" ht="18" customHeight="1" x14ac:dyDescent="0.2">
      <c r="C86" s="189">
        <v>82</v>
      </c>
      <c r="D86" s="189">
        <v>1817311782</v>
      </c>
      <c r="E86" s="200" t="s">
        <v>290</v>
      </c>
      <c r="F86" s="199">
        <v>5</v>
      </c>
      <c r="G86" s="189">
        <v>5</v>
      </c>
      <c r="H86" s="253">
        <f t="shared" si="5"/>
        <v>0.41666666666666669</v>
      </c>
      <c r="I86" s="189">
        <v>0</v>
      </c>
      <c r="J86" s="253">
        <v>5.5</v>
      </c>
    </row>
    <row r="87" spans="3:10" ht="18" customHeight="1" x14ac:dyDescent="0.2">
      <c r="C87" s="189">
        <v>83</v>
      </c>
      <c r="D87" s="189">
        <v>1817320782</v>
      </c>
      <c r="E87" s="200" t="s">
        <v>561</v>
      </c>
      <c r="F87" s="199">
        <v>2</v>
      </c>
      <c r="G87" s="189">
        <v>2</v>
      </c>
      <c r="H87" s="253">
        <f t="shared" si="5"/>
        <v>0.16666666666666666</v>
      </c>
      <c r="I87" s="189">
        <v>1</v>
      </c>
      <c r="J87" s="253">
        <f t="shared" si="7"/>
        <v>2</v>
      </c>
    </row>
    <row r="88" spans="3:10" ht="18" customHeight="1" x14ac:dyDescent="0.2">
      <c r="C88" s="189">
        <v>84</v>
      </c>
      <c r="D88" s="189">
        <v>1823000782</v>
      </c>
      <c r="E88" s="200" t="s">
        <v>562</v>
      </c>
      <c r="F88" s="250">
        <v>10</v>
      </c>
      <c r="G88" s="253">
        <v>10</v>
      </c>
      <c r="H88" s="253">
        <f t="shared" si="5"/>
        <v>0.83333333333333337</v>
      </c>
      <c r="I88" s="253">
        <v>1</v>
      </c>
      <c r="J88" s="253">
        <f t="shared" si="7"/>
        <v>10</v>
      </c>
    </row>
    <row r="89" spans="3:10" s="133" customFormat="1" ht="18" customHeight="1" x14ac:dyDescent="0.2">
      <c r="C89" s="189">
        <v>85</v>
      </c>
      <c r="D89" s="249">
        <v>1823200782</v>
      </c>
      <c r="E89" s="340" t="s">
        <v>960</v>
      </c>
      <c r="F89" s="344">
        <v>0</v>
      </c>
      <c r="G89" s="345">
        <v>6</v>
      </c>
      <c r="H89" s="253">
        <f t="shared" si="5"/>
        <v>0.5</v>
      </c>
      <c r="I89" s="345">
        <v>0</v>
      </c>
      <c r="J89" s="253">
        <f t="shared" si="7"/>
        <v>6</v>
      </c>
    </row>
    <row r="90" spans="3:10" ht="18" customHeight="1" x14ac:dyDescent="0.2">
      <c r="C90" s="189">
        <v>86</v>
      </c>
      <c r="D90" s="189">
        <v>1841000782</v>
      </c>
      <c r="E90" s="200" t="s">
        <v>563</v>
      </c>
      <c r="F90" s="250">
        <v>28</v>
      </c>
      <c r="G90" s="346">
        <v>28</v>
      </c>
      <c r="H90" s="253">
        <f t="shared" si="5"/>
        <v>2.3333333333333335</v>
      </c>
      <c r="I90" s="346">
        <v>10</v>
      </c>
      <c r="J90" s="253">
        <f t="shared" si="7"/>
        <v>28</v>
      </c>
    </row>
    <row r="91" spans="3:10" ht="18" customHeight="1" x14ac:dyDescent="0.2">
      <c r="C91" s="189">
        <v>87</v>
      </c>
      <c r="D91" s="189">
        <v>1841100782</v>
      </c>
      <c r="E91" s="200" t="s">
        <v>1038</v>
      </c>
      <c r="F91" s="250">
        <f>8.55-1.45</f>
        <v>7.1000000000000005</v>
      </c>
      <c r="G91" s="346">
        <v>7</v>
      </c>
      <c r="H91" s="253">
        <f t="shared" si="5"/>
        <v>0.58333333333333337</v>
      </c>
      <c r="I91" s="346">
        <v>3</v>
      </c>
      <c r="J91" s="253">
        <f t="shared" si="7"/>
        <v>7</v>
      </c>
    </row>
    <row r="92" spans="3:10" ht="18" customHeight="1" x14ac:dyDescent="0.2">
      <c r="C92" s="189">
        <v>88</v>
      </c>
      <c r="D92" s="189">
        <v>1841200782</v>
      </c>
      <c r="E92" s="200" t="s">
        <v>975</v>
      </c>
      <c r="F92" s="250">
        <f>19-12</f>
        <v>7</v>
      </c>
      <c r="G92" s="346">
        <v>7</v>
      </c>
      <c r="H92" s="253">
        <f t="shared" si="5"/>
        <v>0.58333333333333337</v>
      </c>
      <c r="I92" s="346">
        <v>0</v>
      </c>
      <c r="J92" s="253">
        <f t="shared" si="7"/>
        <v>7</v>
      </c>
    </row>
    <row r="93" spans="3:10" ht="18" customHeight="1" x14ac:dyDescent="0.2">
      <c r="C93" s="189">
        <v>89</v>
      </c>
      <c r="D93" s="189">
        <v>1841120782</v>
      </c>
      <c r="E93" s="200" t="s">
        <v>323</v>
      </c>
      <c r="F93" s="199">
        <v>6</v>
      </c>
      <c r="G93" s="261">
        <v>6</v>
      </c>
      <c r="H93" s="253">
        <f t="shared" si="5"/>
        <v>0.5</v>
      </c>
      <c r="I93" s="261">
        <v>1</v>
      </c>
      <c r="J93" s="253">
        <f t="shared" si="7"/>
        <v>6</v>
      </c>
    </row>
    <row r="94" spans="3:10" ht="18" customHeight="1" x14ac:dyDescent="0.2">
      <c r="C94" s="189">
        <v>90</v>
      </c>
      <c r="D94" s="189">
        <v>1841300782</v>
      </c>
      <c r="E94" s="200" t="s">
        <v>1039</v>
      </c>
      <c r="F94" s="347">
        <v>150</v>
      </c>
      <c r="G94" s="261">
        <v>100</v>
      </c>
      <c r="H94" s="253">
        <f t="shared" si="5"/>
        <v>8.3333333333333339</v>
      </c>
      <c r="I94" s="261">
        <v>5</v>
      </c>
      <c r="J94" s="253">
        <f>G94</f>
        <v>100</v>
      </c>
    </row>
    <row r="95" spans="3:10" ht="18" customHeight="1" x14ac:dyDescent="0.2">
      <c r="C95" s="189">
        <v>91</v>
      </c>
      <c r="D95" s="189">
        <v>1937000782</v>
      </c>
      <c r="E95" s="200" t="s">
        <v>547</v>
      </c>
      <c r="F95" s="347">
        <v>80</v>
      </c>
      <c r="G95" s="261">
        <v>80</v>
      </c>
      <c r="H95" s="253">
        <f t="shared" si="5"/>
        <v>6.666666666666667</v>
      </c>
      <c r="I95" s="261">
        <v>0</v>
      </c>
      <c r="J95" s="253">
        <v>40</v>
      </c>
    </row>
    <row r="96" spans="3:10" ht="18" customHeight="1" x14ac:dyDescent="0.2">
      <c r="C96" s="189">
        <v>92</v>
      </c>
      <c r="D96" s="189">
        <v>1939000782</v>
      </c>
      <c r="E96" s="200" t="s">
        <v>1063</v>
      </c>
      <c r="F96" s="347">
        <v>4</v>
      </c>
      <c r="G96" s="261">
        <v>4</v>
      </c>
      <c r="H96" s="253">
        <f t="shared" si="5"/>
        <v>0.33333333333333331</v>
      </c>
      <c r="I96" s="261">
        <v>0</v>
      </c>
      <c r="J96" s="253">
        <f t="shared" si="7"/>
        <v>4</v>
      </c>
    </row>
    <row r="97" spans="3:10" ht="15" x14ac:dyDescent="0.25">
      <c r="C97" s="338"/>
      <c r="D97" s="416" t="s">
        <v>419</v>
      </c>
      <c r="E97" s="416"/>
      <c r="F97" s="348">
        <f>SUM(F5:F96)</f>
        <v>13621.140000000001</v>
      </c>
      <c r="G97" s="348">
        <f>SUM(G5:G96)</f>
        <v>14634</v>
      </c>
      <c r="H97" s="348">
        <f>SUM(H5:H96)</f>
        <v>1220.6666666666667</v>
      </c>
      <c r="I97" s="348">
        <f>SUM(I5:I96)</f>
        <v>1656</v>
      </c>
      <c r="J97" s="348">
        <f>SUM(J5:J96)</f>
        <v>14000.550000000003</v>
      </c>
    </row>
    <row r="98" spans="3:10" x14ac:dyDescent="0.2">
      <c r="G98" s="16"/>
    </row>
    <row r="99" spans="3:10" x14ac:dyDescent="0.2">
      <c r="G99" s="16"/>
    </row>
    <row r="100" spans="3:10" x14ac:dyDescent="0.2">
      <c r="G100" s="16"/>
    </row>
    <row r="101" spans="3:10" x14ac:dyDescent="0.2">
      <c r="G101" s="16"/>
    </row>
    <row r="102" spans="3:10" x14ac:dyDescent="0.2">
      <c r="G102" s="16"/>
    </row>
    <row r="103" spans="3:10" x14ac:dyDescent="0.2">
      <c r="G103" s="16"/>
    </row>
    <row r="104" spans="3:10" x14ac:dyDescent="0.2">
      <c r="G104" s="16"/>
    </row>
    <row r="105" spans="3:10" x14ac:dyDescent="0.2">
      <c r="G105" s="16"/>
    </row>
    <row r="106" spans="3:10" x14ac:dyDescent="0.2">
      <c r="G106" s="16"/>
    </row>
    <row r="107" spans="3:10" x14ac:dyDescent="0.2">
      <c r="G107" s="16"/>
    </row>
  </sheetData>
  <mergeCells count="2">
    <mergeCell ref="D97:E97"/>
    <mergeCell ref="E2:J2"/>
  </mergeCells>
  <pageMargins left="1" right="1" top="1" bottom="1" header="0.5" footer="0.5"/>
  <pageSetup paperSize="9" scale="65" firstPageNumber="31" fitToHeight="0" orientation="portrait" useFirstPageNumber="1" r:id="rId1"/>
  <headerFooter>
    <oddFooter>עמוד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5"/>
  <dimension ref="A2:J71"/>
  <sheetViews>
    <sheetView rightToLeft="1" topLeftCell="A3" zoomScale="110" zoomScaleNormal="110" workbookViewId="0">
      <selection activeCell="C13" sqref="C13"/>
    </sheetView>
  </sheetViews>
  <sheetFormatPr defaultRowHeight="14.25" x14ac:dyDescent="0.2"/>
  <cols>
    <col min="1" max="1" width="5.625" customWidth="1"/>
    <col min="2" max="2" width="11.375" bestFit="1" customWidth="1"/>
    <col min="3" max="3" width="41.75" style="23" customWidth="1"/>
    <col min="4" max="4" width="13.625" customWidth="1"/>
    <col min="5" max="5" width="15.375" customWidth="1"/>
    <col min="6" max="6" width="10.25" customWidth="1"/>
    <col min="8" max="8" width="10.5" customWidth="1"/>
  </cols>
  <sheetData>
    <row r="2" spans="1:10" ht="23.25" x14ac:dyDescent="0.25">
      <c r="B2" s="17">
        <v>810</v>
      </c>
      <c r="C2" s="461" t="s">
        <v>413</v>
      </c>
      <c r="D2" s="461"/>
      <c r="E2" s="461"/>
      <c r="F2" s="461"/>
      <c r="G2" s="461"/>
      <c r="H2" s="461"/>
    </row>
    <row r="4" spans="1:10" s="117" customFormat="1" ht="43.9" customHeight="1" x14ac:dyDescent="0.2">
      <c r="A4" s="334" t="s">
        <v>596</v>
      </c>
      <c r="B4" s="334" t="s">
        <v>0</v>
      </c>
      <c r="C4" s="335" t="s">
        <v>1</v>
      </c>
      <c r="D4" s="330" t="s">
        <v>1159</v>
      </c>
      <c r="E4" s="330" t="s">
        <v>1156</v>
      </c>
      <c r="F4" s="331" t="s">
        <v>1160</v>
      </c>
      <c r="G4" s="331" t="s">
        <v>1161</v>
      </c>
      <c r="H4" s="331" t="s">
        <v>1162</v>
      </c>
      <c r="I4" s="276"/>
    </row>
    <row r="5" spans="1:10" x14ac:dyDescent="0.2">
      <c r="A5" s="261">
        <v>1</v>
      </c>
      <c r="B5" s="261">
        <v>1611000810</v>
      </c>
      <c r="C5" s="258" t="s">
        <v>903</v>
      </c>
      <c r="D5" s="260">
        <v>250</v>
      </c>
      <c r="E5" s="260">
        <v>250</v>
      </c>
      <c r="F5" s="260">
        <f>E5/12</f>
        <v>20.833333333333332</v>
      </c>
      <c r="G5" s="260">
        <v>0</v>
      </c>
      <c r="H5" s="260">
        <f>E5</f>
        <v>250</v>
      </c>
      <c r="I5" s="243"/>
    </row>
    <row r="6" spans="1:10" x14ac:dyDescent="0.2">
      <c r="A6" s="261">
        <v>2</v>
      </c>
      <c r="B6" s="261">
        <v>1613000810</v>
      </c>
      <c r="C6" s="258" t="s">
        <v>564</v>
      </c>
      <c r="D6" s="260">
        <v>123</v>
      </c>
      <c r="E6" s="260">
        <v>123</v>
      </c>
      <c r="F6" s="260">
        <f t="shared" ref="F6:F49" si="0">E6/12</f>
        <v>10.25</v>
      </c>
      <c r="G6" s="260">
        <v>128</v>
      </c>
      <c r="H6" s="260">
        <v>150</v>
      </c>
      <c r="I6" s="243"/>
    </row>
    <row r="7" spans="1:10" x14ac:dyDescent="0.2">
      <c r="A7" s="261">
        <v>3</v>
      </c>
      <c r="B7" s="261">
        <v>1724000810</v>
      </c>
      <c r="C7" s="200" t="s">
        <v>225</v>
      </c>
      <c r="D7" s="260">
        <v>30</v>
      </c>
      <c r="E7" s="260">
        <v>30</v>
      </c>
      <c r="F7" s="260">
        <f t="shared" si="0"/>
        <v>2.5</v>
      </c>
      <c r="G7" s="260">
        <v>4</v>
      </c>
      <c r="H7" s="260">
        <f t="shared" ref="H7" si="1">E7</f>
        <v>30</v>
      </c>
      <c r="I7" s="243"/>
    </row>
    <row r="8" spans="1:10" x14ac:dyDescent="0.2">
      <c r="A8" s="261">
        <v>4</v>
      </c>
      <c r="B8" s="261">
        <v>1766000810</v>
      </c>
      <c r="C8" s="258" t="s">
        <v>254</v>
      </c>
      <c r="D8" s="260">
        <v>310</v>
      </c>
      <c r="E8" s="260">
        <v>310</v>
      </c>
      <c r="F8" s="260">
        <f t="shared" si="0"/>
        <v>25.833333333333332</v>
      </c>
      <c r="G8" s="260">
        <v>186</v>
      </c>
      <c r="H8" s="260">
        <v>320</v>
      </c>
      <c r="I8" s="243"/>
    </row>
    <row r="9" spans="1:10" s="12" customFormat="1" ht="15" x14ac:dyDescent="0.25">
      <c r="A9" s="261">
        <v>6</v>
      </c>
      <c r="B9" s="261">
        <v>1766200810</v>
      </c>
      <c r="C9" s="258" t="s">
        <v>590</v>
      </c>
      <c r="D9" s="260">
        <v>140</v>
      </c>
      <c r="E9" s="259">
        <v>140</v>
      </c>
      <c r="F9" s="260">
        <f t="shared" si="0"/>
        <v>11.666666666666666</v>
      </c>
      <c r="G9" s="259">
        <v>5</v>
      </c>
      <c r="H9" s="260">
        <v>100</v>
      </c>
      <c r="I9" s="336"/>
    </row>
    <row r="10" spans="1:10" s="12" customFormat="1" ht="15" x14ac:dyDescent="0.25">
      <c r="A10" s="261">
        <v>7</v>
      </c>
      <c r="B10" s="261">
        <v>1772000810</v>
      </c>
      <c r="C10" s="258" t="s">
        <v>997</v>
      </c>
      <c r="D10" s="259">
        <v>170</v>
      </c>
      <c r="E10" s="260">
        <v>170</v>
      </c>
      <c r="F10" s="260">
        <f t="shared" si="0"/>
        <v>14.166666666666666</v>
      </c>
      <c r="G10" s="260">
        <v>0</v>
      </c>
      <c r="H10" s="260">
        <v>223</v>
      </c>
      <c r="I10" s="243"/>
      <c r="J10" s="6"/>
    </row>
    <row r="11" spans="1:10" s="12" customFormat="1" ht="15" x14ac:dyDescent="0.25">
      <c r="A11" s="261">
        <v>8</v>
      </c>
      <c r="B11" s="261">
        <v>1772100810</v>
      </c>
      <c r="C11" s="258" t="s">
        <v>904</v>
      </c>
      <c r="D11" s="259">
        <v>221</v>
      </c>
      <c r="E11" s="259">
        <v>219</v>
      </c>
      <c r="F11" s="260">
        <f t="shared" si="0"/>
        <v>18.25</v>
      </c>
      <c r="G11" s="259">
        <v>25</v>
      </c>
      <c r="H11" s="259">
        <f>E11</f>
        <v>219</v>
      </c>
      <c r="I11" s="336"/>
    </row>
    <row r="12" spans="1:10" x14ac:dyDescent="0.2">
      <c r="A12" s="261">
        <v>9</v>
      </c>
      <c r="B12" s="189">
        <v>1812310810</v>
      </c>
      <c r="C12" s="258" t="s">
        <v>905</v>
      </c>
      <c r="D12" s="260">
        <v>7400</v>
      </c>
      <c r="E12" s="260">
        <v>7400</v>
      </c>
      <c r="F12" s="260">
        <f t="shared" si="0"/>
        <v>616.66666666666663</v>
      </c>
      <c r="G12" s="260">
        <v>527</v>
      </c>
      <c r="H12" s="259">
        <f t="shared" ref="H12:H18" si="2">E12</f>
        <v>7400</v>
      </c>
      <c r="I12" s="243"/>
    </row>
    <row r="13" spans="1:10" x14ac:dyDescent="0.2">
      <c r="A13" s="261">
        <v>11</v>
      </c>
      <c r="B13" s="261">
        <v>1812400810</v>
      </c>
      <c r="C13" s="258" t="s">
        <v>269</v>
      </c>
      <c r="D13" s="260">
        <v>15</v>
      </c>
      <c r="E13" s="260">
        <v>15</v>
      </c>
      <c r="F13" s="260">
        <f t="shared" si="0"/>
        <v>1.25</v>
      </c>
      <c r="G13" s="260">
        <v>0</v>
      </c>
      <c r="H13" s="259">
        <f t="shared" si="2"/>
        <v>15</v>
      </c>
      <c r="I13" s="243"/>
    </row>
    <row r="14" spans="1:10" x14ac:dyDescent="0.2">
      <c r="A14" s="261">
        <v>12</v>
      </c>
      <c r="B14" s="261">
        <v>1812411810</v>
      </c>
      <c r="C14" s="258" t="s">
        <v>1040</v>
      </c>
      <c r="D14" s="260">
        <f>2-1</f>
        <v>1</v>
      </c>
      <c r="E14" s="260">
        <v>1</v>
      </c>
      <c r="F14" s="260">
        <f t="shared" si="0"/>
        <v>8.3333333333333329E-2</v>
      </c>
      <c r="G14" s="260">
        <v>0</v>
      </c>
      <c r="H14" s="259">
        <f t="shared" si="2"/>
        <v>1</v>
      </c>
      <c r="I14" s="243"/>
    </row>
    <row r="15" spans="1:10" x14ac:dyDescent="0.2">
      <c r="A15" s="261">
        <v>13</v>
      </c>
      <c r="B15" s="261">
        <v>1813300810</v>
      </c>
      <c r="C15" s="258" t="s">
        <v>1042</v>
      </c>
      <c r="D15" s="260">
        <v>22</v>
      </c>
      <c r="E15" s="260">
        <v>22</v>
      </c>
      <c r="F15" s="260">
        <f t="shared" si="0"/>
        <v>1.8333333333333333</v>
      </c>
      <c r="G15" s="260">
        <v>0</v>
      </c>
      <c r="H15" s="259">
        <f t="shared" si="2"/>
        <v>22</v>
      </c>
      <c r="I15" s="243"/>
    </row>
    <row r="16" spans="1:10" x14ac:dyDescent="0.2">
      <c r="A16" s="261">
        <v>14</v>
      </c>
      <c r="B16" s="261">
        <v>1815500810</v>
      </c>
      <c r="C16" s="258" t="s">
        <v>1041</v>
      </c>
      <c r="D16" s="260">
        <v>60</v>
      </c>
      <c r="E16" s="260">
        <v>45</v>
      </c>
      <c r="F16" s="260">
        <f t="shared" si="0"/>
        <v>3.75</v>
      </c>
      <c r="G16" s="260">
        <v>26</v>
      </c>
      <c r="H16" s="259">
        <v>45</v>
      </c>
      <c r="I16" s="243"/>
    </row>
    <row r="17" spans="1:9" ht="15.6" customHeight="1" x14ac:dyDescent="0.25">
      <c r="A17" s="261">
        <v>15</v>
      </c>
      <c r="B17" s="261">
        <v>1815510810</v>
      </c>
      <c r="C17" s="258" t="s">
        <v>285</v>
      </c>
      <c r="D17" s="260">
        <v>100</v>
      </c>
      <c r="E17" s="260">
        <v>50</v>
      </c>
      <c r="F17" s="260">
        <f t="shared" si="0"/>
        <v>4.166666666666667</v>
      </c>
      <c r="G17" s="260">
        <v>0</v>
      </c>
      <c r="H17" s="259">
        <v>100</v>
      </c>
      <c r="I17" s="210"/>
    </row>
    <row r="18" spans="1:9" x14ac:dyDescent="0.2">
      <c r="A18" s="261">
        <v>16</v>
      </c>
      <c r="B18" s="189">
        <v>1815520810</v>
      </c>
      <c r="C18" s="261" t="s">
        <v>1101</v>
      </c>
      <c r="D18" s="259">
        <v>134</v>
      </c>
      <c r="E18" s="259">
        <v>134</v>
      </c>
      <c r="F18" s="260">
        <f t="shared" si="0"/>
        <v>11.166666666666666</v>
      </c>
      <c r="G18" s="259">
        <v>0</v>
      </c>
      <c r="H18" s="259">
        <f t="shared" si="2"/>
        <v>134</v>
      </c>
      <c r="I18" s="243"/>
    </row>
    <row r="19" spans="1:9" x14ac:dyDescent="0.2">
      <c r="A19" s="261">
        <v>17</v>
      </c>
      <c r="B19" s="261">
        <v>1815530810</v>
      </c>
      <c r="C19" s="189" t="s">
        <v>1183</v>
      </c>
      <c r="D19" s="260">
        <v>130</v>
      </c>
      <c r="E19" s="260">
        <v>130</v>
      </c>
      <c r="F19" s="260">
        <f t="shared" si="0"/>
        <v>10.833333333333334</v>
      </c>
      <c r="G19" s="260">
        <v>14</v>
      </c>
      <c r="H19" s="260">
        <v>160</v>
      </c>
      <c r="I19" s="243"/>
    </row>
    <row r="20" spans="1:9" x14ac:dyDescent="0.2">
      <c r="A20" s="261">
        <v>18</v>
      </c>
      <c r="B20" s="261">
        <v>1816800810</v>
      </c>
      <c r="C20" s="258" t="s">
        <v>565</v>
      </c>
      <c r="D20" s="260">
        <v>100</v>
      </c>
      <c r="E20" s="260">
        <v>20</v>
      </c>
      <c r="F20" s="260">
        <f t="shared" si="0"/>
        <v>1.6666666666666667</v>
      </c>
      <c r="G20" s="260">
        <v>2</v>
      </c>
      <c r="H20" s="260">
        <v>100</v>
      </c>
      <c r="I20" s="243"/>
    </row>
    <row r="21" spans="1:9" x14ac:dyDescent="0.2">
      <c r="A21" s="261">
        <v>19</v>
      </c>
      <c r="B21" s="261">
        <v>1824000810</v>
      </c>
      <c r="C21" s="258" t="s">
        <v>941</v>
      </c>
      <c r="D21" s="260">
        <v>1000</v>
      </c>
      <c r="E21" s="260">
        <v>3000</v>
      </c>
      <c r="F21" s="260">
        <f t="shared" si="0"/>
        <v>250</v>
      </c>
      <c r="G21" s="260">
        <v>250</v>
      </c>
      <c r="H21" s="260">
        <v>1760</v>
      </c>
      <c r="I21" s="243"/>
    </row>
    <row r="22" spans="1:9" x14ac:dyDescent="0.2">
      <c r="A22" s="261">
        <v>20</v>
      </c>
      <c r="B22" s="261">
        <v>1824100810</v>
      </c>
      <c r="C22" s="258" t="s">
        <v>568</v>
      </c>
      <c r="D22" s="260">
        <v>144</v>
      </c>
      <c r="E22" s="260">
        <v>144</v>
      </c>
      <c r="F22" s="260">
        <f>E22/12</f>
        <v>12</v>
      </c>
      <c r="G22" s="260">
        <v>0</v>
      </c>
      <c r="H22" s="260">
        <v>149</v>
      </c>
      <c r="I22" s="243"/>
    </row>
    <row r="23" spans="1:9" s="12" customFormat="1" ht="15" x14ac:dyDescent="0.25">
      <c r="A23" s="261">
        <v>21</v>
      </c>
      <c r="B23" s="261">
        <v>1824110810</v>
      </c>
      <c r="C23" s="258" t="s">
        <v>584</v>
      </c>
      <c r="D23" s="260">
        <v>113</v>
      </c>
      <c r="E23" s="260">
        <v>113</v>
      </c>
      <c r="F23" s="260">
        <f>E23/12</f>
        <v>9.4166666666666661</v>
      </c>
      <c r="G23" s="260">
        <v>0</v>
      </c>
      <c r="H23" s="260">
        <v>129</v>
      </c>
      <c r="I23" s="336"/>
    </row>
    <row r="24" spans="1:9" x14ac:dyDescent="0.2">
      <c r="A24" s="261">
        <v>22</v>
      </c>
      <c r="B24" s="189">
        <v>1824200810</v>
      </c>
      <c r="C24" s="200" t="s">
        <v>1139</v>
      </c>
      <c r="D24" s="259">
        <v>88</v>
      </c>
      <c r="E24" s="259">
        <v>100</v>
      </c>
      <c r="F24" s="260">
        <f t="shared" si="0"/>
        <v>8.3333333333333339</v>
      </c>
      <c r="G24" s="259">
        <v>0</v>
      </c>
      <c r="H24" s="259">
        <f>E24</f>
        <v>100</v>
      </c>
      <c r="I24" s="243"/>
    </row>
    <row r="25" spans="1:9" x14ac:dyDescent="0.2">
      <c r="A25" s="261">
        <v>24</v>
      </c>
      <c r="B25" s="189">
        <v>1826100810</v>
      </c>
      <c r="C25" s="252" t="s">
        <v>309</v>
      </c>
      <c r="D25" s="260">
        <v>1940</v>
      </c>
      <c r="E25" s="337">
        <v>1850</v>
      </c>
      <c r="F25" s="260">
        <f t="shared" si="0"/>
        <v>154.16666666666666</v>
      </c>
      <c r="G25" s="337">
        <v>50</v>
      </c>
      <c r="H25" s="337">
        <f>E25</f>
        <v>1850</v>
      </c>
      <c r="I25" s="243"/>
    </row>
    <row r="26" spans="1:9" x14ac:dyDescent="0.2">
      <c r="A26" s="261">
        <v>25</v>
      </c>
      <c r="B26" s="189">
        <v>1826120810</v>
      </c>
      <c r="C26" s="200" t="s">
        <v>943</v>
      </c>
      <c r="D26" s="260">
        <v>434</v>
      </c>
      <c r="E26" s="260">
        <v>868</v>
      </c>
      <c r="F26" s="260">
        <f t="shared" si="0"/>
        <v>72.333333333333329</v>
      </c>
      <c r="G26" s="260">
        <v>0</v>
      </c>
      <c r="H26" s="260">
        <v>625</v>
      </c>
      <c r="I26" s="243"/>
    </row>
    <row r="27" spans="1:9" x14ac:dyDescent="0.2">
      <c r="A27" s="261">
        <v>26</v>
      </c>
      <c r="B27" s="189">
        <v>1826110810</v>
      </c>
      <c r="C27" s="200" t="s">
        <v>310</v>
      </c>
      <c r="D27" s="260">
        <v>310</v>
      </c>
      <c r="E27" s="260">
        <v>310</v>
      </c>
      <c r="F27" s="260">
        <f t="shared" si="0"/>
        <v>25.833333333333332</v>
      </c>
      <c r="G27" s="260">
        <v>29</v>
      </c>
      <c r="H27" s="260">
        <f>E27</f>
        <v>310</v>
      </c>
      <c r="I27" s="243"/>
    </row>
    <row r="28" spans="1:9" x14ac:dyDescent="0.2">
      <c r="A28" s="261">
        <v>27</v>
      </c>
      <c r="B28" s="189">
        <v>1827000810</v>
      </c>
      <c r="C28" s="200" t="s">
        <v>312</v>
      </c>
      <c r="D28" s="260">
        <f>60-32</f>
        <v>28</v>
      </c>
      <c r="E28" s="260">
        <v>60</v>
      </c>
      <c r="F28" s="260">
        <f t="shared" si="0"/>
        <v>5</v>
      </c>
      <c r="G28" s="260">
        <v>0</v>
      </c>
      <c r="H28" s="260">
        <f t="shared" ref="H28:H43" si="3">E28</f>
        <v>60</v>
      </c>
      <c r="I28" s="243"/>
    </row>
    <row r="29" spans="1:9" x14ac:dyDescent="0.2">
      <c r="A29" s="261">
        <v>28</v>
      </c>
      <c r="B29" s="189">
        <v>1828000810</v>
      </c>
      <c r="C29" s="200" t="s">
        <v>569</v>
      </c>
      <c r="D29" s="260">
        <v>3</v>
      </c>
      <c r="E29" s="260">
        <v>3</v>
      </c>
      <c r="F29" s="260">
        <f t="shared" si="0"/>
        <v>0.25</v>
      </c>
      <c r="G29" s="260">
        <v>0</v>
      </c>
      <c r="H29" s="260">
        <v>3.3</v>
      </c>
      <c r="I29" s="243"/>
    </row>
    <row r="30" spans="1:9" x14ac:dyDescent="0.2">
      <c r="A30" s="261">
        <v>29</v>
      </c>
      <c r="B30" s="189">
        <v>1828900810</v>
      </c>
      <c r="C30" s="200" t="s">
        <v>579</v>
      </c>
      <c r="D30" s="260">
        <v>0</v>
      </c>
      <c r="E30" s="260">
        <v>460</v>
      </c>
      <c r="F30" s="260">
        <f t="shared" si="0"/>
        <v>38.333333333333336</v>
      </c>
      <c r="G30" s="260">
        <v>0</v>
      </c>
      <c r="H30" s="260">
        <f t="shared" si="3"/>
        <v>460</v>
      </c>
      <c r="I30" s="243"/>
    </row>
    <row r="31" spans="1:9" x14ac:dyDescent="0.2">
      <c r="A31" s="261">
        <v>30</v>
      </c>
      <c r="B31" s="189">
        <v>1828910810</v>
      </c>
      <c r="C31" s="200" t="s">
        <v>315</v>
      </c>
      <c r="D31" s="259">
        <f>19-19</f>
        <v>0</v>
      </c>
      <c r="E31" s="259">
        <v>0</v>
      </c>
      <c r="F31" s="260">
        <f t="shared" si="0"/>
        <v>0</v>
      </c>
      <c r="G31" s="259">
        <v>0</v>
      </c>
      <c r="H31" s="260">
        <f t="shared" si="3"/>
        <v>0</v>
      </c>
      <c r="I31" s="243"/>
    </row>
    <row r="32" spans="1:9" x14ac:dyDescent="0.2">
      <c r="A32" s="261">
        <v>31</v>
      </c>
      <c r="B32" s="189">
        <v>1828911810</v>
      </c>
      <c r="C32" s="200" t="s">
        <v>468</v>
      </c>
      <c r="D32" s="259">
        <f>12-3</f>
        <v>9</v>
      </c>
      <c r="E32" s="259">
        <v>0</v>
      </c>
      <c r="F32" s="260">
        <f t="shared" si="0"/>
        <v>0</v>
      </c>
      <c r="G32" s="259">
        <v>0</v>
      </c>
      <c r="H32" s="260">
        <f t="shared" si="3"/>
        <v>0</v>
      </c>
      <c r="I32" s="243"/>
    </row>
    <row r="33" spans="1:9" x14ac:dyDescent="0.2">
      <c r="A33" s="261">
        <v>32</v>
      </c>
      <c r="B33" s="189">
        <v>1828912810</v>
      </c>
      <c r="C33" s="200" t="s">
        <v>467</v>
      </c>
      <c r="D33" s="259">
        <f>24-4</f>
        <v>20</v>
      </c>
      <c r="E33" s="259">
        <v>0</v>
      </c>
      <c r="F33" s="260">
        <f t="shared" si="0"/>
        <v>0</v>
      </c>
      <c r="G33" s="259">
        <v>0</v>
      </c>
      <c r="H33" s="260">
        <f t="shared" si="3"/>
        <v>0</v>
      </c>
      <c r="I33" s="243"/>
    </row>
    <row r="34" spans="1:9" x14ac:dyDescent="0.2">
      <c r="A34" s="261">
        <v>33</v>
      </c>
      <c r="B34" s="189">
        <v>1828913810</v>
      </c>
      <c r="C34" s="200" t="s">
        <v>466</v>
      </c>
      <c r="D34" s="259">
        <f>10-10</f>
        <v>0</v>
      </c>
      <c r="E34" s="259">
        <v>0</v>
      </c>
      <c r="F34" s="260">
        <f t="shared" si="0"/>
        <v>0</v>
      </c>
      <c r="G34" s="259">
        <v>0</v>
      </c>
      <c r="H34" s="260">
        <f t="shared" si="3"/>
        <v>0</v>
      </c>
      <c r="I34" s="243"/>
    </row>
    <row r="35" spans="1:9" x14ac:dyDescent="0.2">
      <c r="A35" s="261">
        <v>34</v>
      </c>
      <c r="B35" s="189">
        <v>1828914810</v>
      </c>
      <c r="C35" s="243" t="s">
        <v>1008</v>
      </c>
      <c r="D35" s="259">
        <f>6-2</f>
        <v>4</v>
      </c>
      <c r="E35" s="259">
        <v>0</v>
      </c>
      <c r="F35" s="260">
        <f t="shared" si="0"/>
        <v>0</v>
      </c>
      <c r="G35" s="259">
        <v>0</v>
      </c>
      <c r="H35" s="260">
        <f t="shared" si="3"/>
        <v>0</v>
      </c>
      <c r="I35" s="243"/>
    </row>
    <row r="36" spans="1:9" x14ac:dyDescent="0.2">
      <c r="A36" s="261">
        <v>35</v>
      </c>
      <c r="B36" s="189">
        <v>1828920810</v>
      </c>
      <c r="C36" s="200" t="s">
        <v>566</v>
      </c>
      <c r="D36" s="259">
        <f>40-7</f>
        <v>33</v>
      </c>
      <c r="E36" s="259">
        <v>0</v>
      </c>
      <c r="F36" s="260">
        <f t="shared" si="0"/>
        <v>0</v>
      </c>
      <c r="G36" s="259">
        <v>0</v>
      </c>
      <c r="H36" s="260">
        <f t="shared" si="3"/>
        <v>0</v>
      </c>
      <c r="I36" s="243"/>
    </row>
    <row r="37" spans="1:9" x14ac:dyDescent="0.2">
      <c r="A37" s="261">
        <v>36</v>
      </c>
      <c r="B37" s="189">
        <v>1828930810</v>
      </c>
      <c r="C37" s="200" t="s">
        <v>567</v>
      </c>
      <c r="D37" s="259">
        <f>110-15</f>
        <v>95</v>
      </c>
      <c r="E37" s="259">
        <v>0</v>
      </c>
      <c r="F37" s="260">
        <f t="shared" si="0"/>
        <v>0</v>
      </c>
      <c r="G37" s="259">
        <v>0</v>
      </c>
      <c r="H37" s="260">
        <f t="shared" si="3"/>
        <v>0</v>
      </c>
      <c r="I37" s="243"/>
    </row>
    <row r="38" spans="1:9" x14ac:dyDescent="0.2">
      <c r="A38" s="261">
        <v>37</v>
      </c>
      <c r="B38" s="189">
        <v>1828940810</v>
      </c>
      <c r="C38" s="200" t="s">
        <v>465</v>
      </c>
      <c r="D38" s="259">
        <f>62-3</f>
        <v>59</v>
      </c>
      <c r="E38" s="259">
        <v>0</v>
      </c>
      <c r="F38" s="260">
        <f t="shared" si="0"/>
        <v>0</v>
      </c>
      <c r="G38" s="259">
        <v>0</v>
      </c>
      <c r="H38" s="260">
        <f>E38</f>
        <v>0</v>
      </c>
      <c r="I38" s="243"/>
    </row>
    <row r="39" spans="1:9" x14ac:dyDescent="0.2">
      <c r="A39" s="261">
        <v>38</v>
      </c>
      <c r="B39" s="189">
        <v>1828950810</v>
      </c>
      <c r="C39" s="200" t="s">
        <v>906</v>
      </c>
      <c r="D39" s="259">
        <f>45-7</f>
        <v>38</v>
      </c>
      <c r="E39" s="259">
        <v>0</v>
      </c>
      <c r="F39" s="260">
        <f t="shared" si="0"/>
        <v>0</v>
      </c>
      <c r="G39" s="259">
        <v>0</v>
      </c>
      <c r="H39" s="260">
        <f t="shared" si="3"/>
        <v>0</v>
      </c>
      <c r="I39" s="243"/>
    </row>
    <row r="40" spans="1:9" x14ac:dyDescent="0.2">
      <c r="A40" s="261">
        <v>39</v>
      </c>
      <c r="B40" s="189">
        <v>1828960810</v>
      </c>
      <c r="C40" s="200" t="s">
        <v>464</v>
      </c>
      <c r="D40" s="259">
        <f>34-4</f>
        <v>30</v>
      </c>
      <c r="E40" s="259">
        <v>0</v>
      </c>
      <c r="F40" s="260">
        <f t="shared" si="0"/>
        <v>0</v>
      </c>
      <c r="G40" s="259">
        <v>0</v>
      </c>
      <c r="H40" s="260">
        <f t="shared" si="3"/>
        <v>0</v>
      </c>
      <c r="I40" s="243"/>
    </row>
    <row r="41" spans="1:9" x14ac:dyDescent="0.2">
      <c r="A41" s="261">
        <v>40</v>
      </c>
      <c r="B41" s="189">
        <v>1828970810</v>
      </c>
      <c r="C41" s="200" t="s">
        <v>1138</v>
      </c>
      <c r="D41" s="259">
        <f>34-12</f>
        <v>22</v>
      </c>
      <c r="E41" s="259">
        <v>0</v>
      </c>
      <c r="F41" s="260">
        <f t="shared" si="0"/>
        <v>0</v>
      </c>
      <c r="G41" s="259">
        <v>0</v>
      </c>
      <c r="H41" s="260">
        <f t="shared" si="3"/>
        <v>0</v>
      </c>
      <c r="I41" s="243"/>
    </row>
    <row r="42" spans="1:9" x14ac:dyDescent="0.2">
      <c r="A42" s="261">
        <v>41</v>
      </c>
      <c r="B42" s="189">
        <v>1828980810</v>
      </c>
      <c r="C42" s="200" t="s">
        <v>463</v>
      </c>
      <c r="D42" s="259">
        <f>29-5</f>
        <v>24</v>
      </c>
      <c r="E42" s="259">
        <v>0</v>
      </c>
      <c r="F42" s="260">
        <f t="shared" si="0"/>
        <v>0</v>
      </c>
      <c r="G42" s="259">
        <v>0</v>
      </c>
      <c r="H42" s="260">
        <f t="shared" si="3"/>
        <v>0</v>
      </c>
      <c r="I42" s="243"/>
    </row>
    <row r="43" spans="1:9" x14ac:dyDescent="0.2">
      <c r="A43" s="261">
        <v>42</v>
      </c>
      <c r="B43" s="189">
        <v>1828990810</v>
      </c>
      <c r="C43" s="200" t="s">
        <v>570</v>
      </c>
      <c r="D43" s="259">
        <f>12-3</f>
        <v>9</v>
      </c>
      <c r="E43" s="259">
        <v>0</v>
      </c>
      <c r="F43" s="260">
        <f t="shared" si="0"/>
        <v>0</v>
      </c>
      <c r="G43" s="259">
        <v>0</v>
      </c>
      <c r="H43" s="260">
        <f t="shared" si="3"/>
        <v>0</v>
      </c>
      <c r="I43" s="243"/>
    </row>
    <row r="44" spans="1:9" x14ac:dyDescent="0.2">
      <c r="A44" s="261">
        <v>43</v>
      </c>
      <c r="B44" s="261">
        <v>1829900810</v>
      </c>
      <c r="C44" s="258" t="s">
        <v>316</v>
      </c>
      <c r="D44" s="260">
        <v>1725</v>
      </c>
      <c r="E44" s="260">
        <v>1725</v>
      </c>
      <c r="F44" s="260">
        <f t="shared" si="0"/>
        <v>143.75</v>
      </c>
      <c r="G44" s="260">
        <v>0</v>
      </c>
      <c r="H44" s="260">
        <v>1850</v>
      </c>
      <c r="I44" s="243"/>
    </row>
    <row r="45" spans="1:9" x14ac:dyDescent="0.2">
      <c r="A45" s="261">
        <v>44</v>
      </c>
      <c r="B45" s="189">
        <v>1829910810</v>
      </c>
      <c r="C45" s="258" t="s">
        <v>571</v>
      </c>
      <c r="D45" s="260">
        <v>0</v>
      </c>
      <c r="E45" s="260">
        <v>160</v>
      </c>
      <c r="F45" s="260">
        <f t="shared" si="0"/>
        <v>13.333333333333334</v>
      </c>
      <c r="G45" s="260">
        <v>0</v>
      </c>
      <c r="H45" s="260">
        <f>E45</f>
        <v>160</v>
      </c>
      <c r="I45" s="243"/>
    </row>
    <row r="46" spans="1:9" x14ac:dyDescent="0.2">
      <c r="A46" s="261">
        <v>45</v>
      </c>
      <c r="B46" s="189">
        <v>1835000810</v>
      </c>
      <c r="C46" s="200" t="s">
        <v>317</v>
      </c>
      <c r="D46" s="260">
        <v>280</v>
      </c>
      <c r="E46" s="260">
        <v>280</v>
      </c>
      <c r="F46" s="260">
        <f t="shared" si="0"/>
        <v>23.333333333333332</v>
      </c>
      <c r="G46" s="260">
        <v>0</v>
      </c>
      <c r="H46" s="260">
        <f t="shared" ref="H46:H49" si="4">E46</f>
        <v>280</v>
      </c>
      <c r="I46" s="243"/>
    </row>
    <row r="47" spans="1:9" x14ac:dyDescent="0.2">
      <c r="A47" s="261">
        <v>49</v>
      </c>
      <c r="B47" s="189">
        <v>1851000810</v>
      </c>
      <c r="C47" s="200" t="s">
        <v>356</v>
      </c>
      <c r="D47" s="260">
        <v>1779</v>
      </c>
      <c r="E47" s="260">
        <v>1779</v>
      </c>
      <c r="F47" s="260">
        <f t="shared" si="0"/>
        <v>148.25</v>
      </c>
      <c r="G47" s="260">
        <v>148</v>
      </c>
      <c r="H47" s="260">
        <f t="shared" si="4"/>
        <v>1779</v>
      </c>
      <c r="I47" s="243"/>
    </row>
    <row r="48" spans="1:9" x14ac:dyDescent="0.2">
      <c r="A48" s="261">
        <v>50</v>
      </c>
      <c r="B48" s="189">
        <v>1860000810</v>
      </c>
      <c r="C48" s="200" t="s">
        <v>358</v>
      </c>
      <c r="D48" s="260">
        <f>23-12</f>
        <v>11</v>
      </c>
      <c r="E48" s="260">
        <v>25</v>
      </c>
      <c r="F48" s="260">
        <f t="shared" si="0"/>
        <v>2.0833333333333335</v>
      </c>
      <c r="G48" s="260">
        <v>0</v>
      </c>
      <c r="H48" s="260">
        <f t="shared" si="4"/>
        <v>25</v>
      </c>
      <c r="I48" s="243"/>
    </row>
    <row r="49" spans="1:9" x14ac:dyDescent="0.2">
      <c r="A49" s="261">
        <v>51</v>
      </c>
      <c r="B49" s="189">
        <v>1870000810</v>
      </c>
      <c r="C49" s="200" t="s">
        <v>359</v>
      </c>
      <c r="D49" s="260">
        <v>180</v>
      </c>
      <c r="E49" s="260">
        <v>180</v>
      </c>
      <c r="F49" s="260">
        <f t="shared" si="0"/>
        <v>15</v>
      </c>
      <c r="G49" s="260">
        <v>0</v>
      </c>
      <c r="H49" s="260">
        <f t="shared" si="4"/>
        <v>180</v>
      </c>
      <c r="I49" s="243"/>
    </row>
    <row r="50" spans="1:9" ht="15" x14ac:dyDescent="0.25">
      <c r="A50" s="338"/>
      <c r="B50" s="463" t="s">
        <v>419</v>
      </c>
      <c r="C50" s="462"/>
      <c r="D50" s="339">
        <f>SUM(D5:D49)</f>
        <v>17584</v>
      </c>
      <c r="E50" s="339">
        <f>SUM(E5:E49)</f>
        <v>20116</v>
      </c>
      <c r="F50" s="339">
        <f>SUM(F5:F49)</f>
        <v>1676.3333333333328</v>
      </c>
      <c r="G50" s="339">
        <f>SUM(G5:G49)</f>
        <v>1394</v>
      </c>
      <c r="H50" s="339">
        <f>SUM(H5:H49)</f>
        <v>18989.3</v>
      </c>
      <c r="I50" s="243"/>
    </row>
    <row r="53" spans="1:9" ht="15" x14ac:dyDescent="0.25">
      <c r="B53" s="21"/>
      <c r="C53" s="21"/>
    </row>
    <row r="54" spans="1:9" ht="15" x14ac:dyDescent="0.25">
      <c r="B54" s="21"/>
      <c r="C54" s="21"/>
    </row>
    <row r="55" spans="1:9" ht="15" x14ac:dyDescent="0.25">
      <c r="B55" s="21"/>
      <c r="C55" s="21"/>
    </row>
    <row r="56" spans="1:9" ht="15" x14ac:dyDescent="0.25">
      <c r="B56" s="21"/>
      <c r="C56" s="21"/>
    </row>
    <row r="57" spans="1:9" ht="15" x14ac:dyDescent="0.25">
      <c r="B57" s="21"/>
      <c r="C57" s="21"/>
    </row>
    <row r="58" spans="1:9" ht="15" x14ac:dyDescent="0.25">
      <c r="B58" s="21"/>
      <c r="C58" s="21"/>
    </row>
    <row r="59" spans="1:9" ht="15" x14ac:dyDescent="0.25">
      <c r="B59" s="21"/>
      <c r="C59" s="21"/>
    </row>
    <row r="60" spans="1:9" ht="15" x14ac:dyDescent="0.25">
      <c r="B60" s="21"/>
      <c r="C60" s="21"/>
    </row>
    <row r="61" spans="1:9" ht="15" x14ac:dyDescent="0.25">
      <c r="B61" s="21"/>
      <c r="C61" s="21"/>
    </row>
    <row r="62" spans="1:9" ht="15" x14ac:dyDescent="0.25">
      <c r="B62" s="21"/>
      <c r="C62" s="21"/>
    </row>
    <row r="63" spans="1:9" ht="15" x14ac:dyDescent="0.25">
      <c r="B63" s="21"/>
      <c r="C63" s="21"/>
    </row>
    <row r="64" spans="1:9" ht="15" x14ac:dyDescent="0.25">
      <c r="B64" s="21"/>
      <c r="C64" s="21"/>
    </row>
    <row r="65" spans="2:3" ht="15" x14ac:dyDescent="0.25">
      <c r="B65" s="21"/>
      <c r="C65" s="21"/>
    </row>
    <row r="66" spans="2:3" ht="15" x14ac:dyDescent="0.25">
      <c r="B66" s="21"/>
      <c r="C66" s="21"/>
    </row>
    <row r="67" spans="2:3" ht="15" x14ac:dyDescent="0.25">
      <c r="B67" s="21"/>
      <c r="C67" s="21"/>
    </row>
    <row r="68" spans="2:3" ht="15" x14ac:dyDescent="0.25">
      <c r="B68" s="21"/>
      <c r="C68" s="21"/>
    </row>
    <row r="69" spans="2:3" ht="15" x14ac:dyDescent="0.25">
      <c r="B69" s="21"/>
      <c r="C69" s="21"/>
    </row>
    <row r="70" spans="2:3" ht="15" x14ac:dyDescent="0.25">
      <c r="B70" s="21"/>
      <c r="C70" s="21"/>
    </row>
    <row r="71" spans="2:3" ht="15" x14ac:dyDescent="0.25">
      <c r="B71" s="21"/>
      <c r="C71" s="21"/>
    </row>
  </sheetData>
  <mergeCells count="2">
    <mergeCell ref="B50:C50"/>
    <mergeCell ref="C2:H2"/>
  </mergeCells>
  <pageMargins left="0.27559055118110237" right="0.39370078740157483" top="0.74803149606299213" bottom="0.74803149606299213" header="0.31496062992125984" footer="0.31496062992125984"/>
  <pageSetup paperSize="9" scale="74" firstPageNumber="33" orientation="portrait" useFirstPageNumber="1" r:id="rId1"/>
  <headerFooter>
    <oddFooter>עמוד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6"/>
  <dimension ref="A2:I860"/>
  <sheetViews>
    <sheetView rightToLeft="1" topLeftCell="A235" workbookViewId="0">
      <selection activeCell="H274" sqref="H274"/>
    </sheetView>
  </sheetViews>
  <sheetFormatPr defaultRowHeight="14.25" x14ac:dyDescent="0.2"/>
  <cols>
    <col min="1" max="1" width="5.5" customWidth="1"/>
    <col min="2" max="2" width="10.875" bestFit="1" customWidth="1"/>
    <col min="4" max="4" width="14.125" bestFit="1" customWidth="1"/>
    <col min="5" max="5" width="12.375" hidden="1" customWidth="1"/>
    <col min="6" max="8" width="0" hidden="1" customWidth="1"/>
    <col min="9" max="9" width="14" style="59" bestFit="1" customWidth="1"/>
  </cols>
  <sheetData>
    <row r="2" spans="1:9" x14ac:dyDescent="0.2">
      <c r="A2">
        <v>100</v>
      </c>
      <c r="B2">
        <v>1111000</v>
      </c>
      <c r="C2">
        <v>0</v>
      </c>
      <c r="D2" s="1">
        <v>143216005.75</v>
      </c>
      <c r="E2">
        <v>0</v>
      </c>
      <c r="F2" s="1">
        <v>4150005.75</v>
      </c>
      <c r="G2" s="1">
        <v>139066000</v>
      </c>
      <c r="H2" s="1">
        <v>158936015.61000001</v>
      </c>
      <c r="I2" s="59" t="s">
        <v>2</v>
      </c>
    </row>
    <row r="3" spans="1:9" x14ac:dyDescent="0.2">
      <c r="A3">
        <v>910</v>
      </c>
      <c r="B3">
        <v>1111000</v>
      </c>
      <c r="C3">
        <v>0</v>
      </c>
      <c r="D3" s="1">
        <v>22711486</v>
      </c>
      <c r="E3">
        <v>0</v>
      </c>
      <c r="F3">
        <v>486</v>
      </c>
      <c r="G3" s="1">
        <v>22711000</v>
      </c>
      <c r="H3">
        <v>0</v>
      </c>
      <c r="I3" s="59" t="s">
        <v>2</v>
      </c>
    </row>
    <row r="4" spans="1:9" x14ac:dyDescent="0.2">
      <c r="A4">
        <v>911</v>
      </c>
      <c r="B4">
        <v>1111000</v>
      </c>
      <c r="C4">
        <v>0</v>
      </c>
      <c r="D4" s="1">
        <v>3178338.6</v>
      </c>
      <c r="E4" s="1">
        <v>1650661.4</v>
      </c>
      <c r="F4">
        <v>0</v>
      </c>
      <c r="G4" s="1">
        <v>4829000</v>
      </c>
      <c r="H4">
        <v>0</v>
      </c>
      <c r="I4" s="59" t="s">
        <v>2</v>
      </c>
    </row>
    <row r="5" spans="1:9" x14ac:dyDescent="0.2">
      <c r="A5">
        <v>100</v>
      </c>
      <c r="B5">
        <v>1111200</v>
      </c>
      <c r="C5">
        <v>0</v>
      </c>
      <c r="D5" s="1">
        <v>3829.42</v>
      </c>
      <c r="E5">
        <v>0</v>
      </c>
      <c r="F5" s="1">
        <v>3829.42</v>
      </c>
      <c r="G5">
        <v>0</v>
      </c>
      <c r="H5">
        <v>0</v>
      </c>
      <c r="I5" s="59" t="s">
        <v>2</v>
      </c>
    </row>
    <row r="6" spans="1:9" x14ac:dyDescent="0.2">
      <c r="A6">
        <v>100</v>
      </c>
      <c r="B6">
        <v>1113000</v>
      </c>
      <c r="C6">
        <v>0</v>
      </c>
      <c r="D6" s="1">
        <v>49539189</v>
      </c>
      <c r="E6">
        <v>0</v>
      </c>
      <c r="F6" s="1">
        <v>514189</v>
      </c>
      <c r="G6" s="1">
        <v>49025000</v>
      </c>
      <c r="H6" s="1">
        <v>31433157.390000001</v>
      </c>
      <c r="I6" s="59" t="s">
        <v>2</v>
      </c>
    </row>
    <row r="7" spans="1:9" x14ac:dyDescent="0.2">
      <c r="A7">
        <v>220</v>
      </c>
      <c r="B7">
        <v>1121000</v>
      </c>
      <c r="C7">
        <v>0</v>
      </c>
      <c r="D7" s="1">
        <v>41861.769999999997</v>
      </c>
      <c r="E7">
        <v>0</v>
      </c>
      <c r="F7" s="1">
        <v>1861.77</v>
      </c>
      <c r="G7" s="1">
        <v>40000</v>
      </c>
      <c r="H7" s="1">
        <v>51968.17</v>
      </c>
      <c r="I7" s="59" t="s">
        <v>2</v>
      </c>
    </row>
    <row r="8" spans="1:9" x14ac:dyDescent="0.2">
      <c r="A8">
        <v>220</v>
      </c>
      <c r="B8">
        <v>1121100</v>
      </c>
      <c r="C8">
        <v>0</v>
      </c>
      <c r="D8" s="1">
        <v>311009.01</v>
      </c>
      <c r="E8">
        <v>0</v>
      </c>
      <c r="F8" s="1">
        <v>31009.01</v>
      </c>
      <c r="G8" s="1">
        <v>280000</v>
      </c>
      <c r="H8" s="1">
        <v>392865.71</v>
      </c>
      <c r="I8" s="59" t="s">
        <v>2</v>
      </c>
    </row>
    <row r="9" spans="1:9" x14ac:dyDescent="0.2">
      <c r="A9">
        <v>210</v>
      </c>
      <c r="B9">
        <v>1122000</v>
      </c>
      <c r="C9">
        <v>0</v>
      </c>
      <c r="D9" s="1">
        <v>969817.78</v>
      </c>
      <c r="E9">
        <v>0</v>
      </c>
      <c r="F9" s="1">
        <v>24817.78</v>
      </c>
      <c r="G9" s="1">
        <v>945000</v>
      </c>
      <c r="H9" s="1">
        <v>1034173.53</v>
      </c>
      <c r="I9" s="59" t="s">
        <v>2</v>
      </c>
    </row>
    <row r="10" spans="1:9" x14ac:dyDescent="0.2">
      <c r="A10">
        <v>210</v>
      </c>
      <c r="B10">
        <v>1122100</v>
      </c>
      <c r="C10">
        <v>0</v>
      </c>
      <c r="D10">
        <v>0</v>
      </c>
      <c r="E10">
        <v>0</v>
      </c>
      <c r="F10">
        <v>0</v>
      </c>
      <c r="G10">
        <v>0</v>
      </c>
      <c r="H10" s="1">
        <v>1913.88</v>
      </c>
      <c r="I10" s="59" t="s">
        <v>2</v>
      </c>
    </row>
    <row r="11" spans="1:9" x14ac:dyDescent="0.2">
      <c r="A11">
        <v>220</v>
      </c>
      <c r="B11">
        <v>1124100</v>
      </c>
      <c r="C11">
        <v>0</v>
      </c>
      <c r="D11">
        <v>0</v>
      </c>
      <c r="E11">
        <v>0</v>
      </c>
      <c r="F11">
        <v>0</v>
      </c>
      <c r="G11">
        <v>0</v>
      </c>
      <c r="H11">
        <v>600</v>
      </c>
      <c r="I11" s="59" t="s">
        <v>2</v>
      </c>
    </row>
    <row r="12" spans="1:9" x14ac:dyDescent="0.2">
      <c r="A12">
        <v>290</v>
      </c>
      <c r="B12">
        <v>1129000</v>
      </c>
      <c r="C12">
        <v>0</v>
      </c>
      <c r="D12" s="1">
        <v>39870</v>
      </c>
      <c r="E12">
        <v>130</v>
      </c>
      <c r="F12">
        <v>0</v>
      </c>
      <c r="G12" s="1">
        <v>40000</v>
      </c>
      <c r="H12" s="1">
        <v>74318.16</v>
      </c>
      <c r="I12" s="59" t="s">
        <v>2</v>
      </c>
    </row>
    <row r="13" spans="1:9" x14ac:dyDescent="0.2">
      <c r="A13">
        <v>291</v>
      </c>
      <c r="B13">
        <v>1129000</v>
      </c>
      <c r="C13">
        <v>0</v>
      </c>
      <c r="D13" s="1">
        <v>17101</v>
      </c>
      <c r="E13">
        <v>0</v>
      </c>
      <c r="F13" s="1">
        <v>17101</v>
      </c>
      <c r="G13">
        <v>0</v>
      </c>
      <c r="H13">
        <v>0</v>
      </c>
      <c r="I13" s="59" t="s">
        <v>2</v>
      </c>
    </row>
    <row r="14" spans="1:9" x14ac:dyDescent="0.2">
      <c r="A14">
        <v>910</v>
      </c>
      <c r="B14">
        <v>1191000</v>
      </c>
      <c r="C14">
        <v>0</v>
      </c>
      <c r="D14" s="1">
        <v>4198522</v>
      </c>
      <c r="E14" s="1">
        <v>300478</v>
      </c>
      <c r="F14">
        <v>0</v>
      </c>
      <c r="G14" s="1">
        <v>4499000</v>
      </c>
      <c r="H14" s="1">
        <v>5471595.1699999999</v>
      </c>
      <c r="I14" s="59" t="s">
        <v>2</v>
      </c>
    </row>
    <row r="15" spans="1:9" x14ac:dyDescent="0.2">
      <c r="A15">
        <v>910</v>
      </c>
      <c r="B15">
        <v>1192000</v>
      </c>
      <c r="C15">
        <v>0</v>
      </c>
      <c r="D15" s="1">
        <v>5320704</v>
      </c>
      <c r="E15">
        <v>0</v>
      </c>
      <c r="F15" s="1">
        <v>1753704</v>
      </c>
      <c r="G15" s="1">
        <v>3567000</v>
      </c>
      <c r="H15" s="1">
        <v>5943355.8300000001</v>
      </c>
      <c r="I15" s="59" t="s">
        <v>2</v>
      </c>
    </row>
    <row r="16" spans="1:9" x14ac:dyDescent="0.2">
      <c r="A16">
        <v>420</v>
      </c>
      <c r="B16">
        <v>1212300</v>
      </c>
      <c r="C16">
        <v>0</v>
      </c>
      <c r="D16" s="1">
        <v>5242.24</v>
      </c>
      <c r="E16">
        <v>0</v>
      </c>
      <c r="F16" s="1">
        <v>5242.24</v>
      </c>
      <c r="G16">
        <v>0</v>
      </c>
      <c r="H16">
        <v>300</v>
      </c>
      <c r="I16" s="59" t="s">
        <v>2</v>
      </c>
    </row>
    <row r="17" spans="1:9" x14ac:dyDescent="0.2">
      <c r="A17">
        <v>650</v>
      </c>
      <c r="B17">
        <v>1212300</v>
      </c>
      <c r="C17">
        <v>0</v>
      </c>
      <c r="D17" s="1">
        <v>371553.79</v>
      </c>
      <c r="E17" s="1">
        <v>182446.21</v>
      </c>
      <c r="F17">
        <v>0</v>
      </c>
      <c r="G17" s="1">
        <v>554000</v>
      </c>
      <c r="H17" s="1">
        <v>619553</v>
      </c>
      <c r="I17" s="59" t="s">
        <v>2</v>
      </c>
    </row>
    <row r="18" spans="1:9" x14ac:dyDescent="0.2">
      <c r="A18">
        <v>690</v>
      </c>
      <c r="B18">
        <v>1212300</v>
      </c>
      <c r="C18">
        <v>0</v>
      </c>
      <c r="D18" s="1">
        <v>17622</v>
      </c>
      <c r="E18" s="1">
        <v>2378</v>
      </c>
      <c r="F18">
        <v>0</v>
      </c>
      <c r="G18" s="1">
        <v>20000</v>
      </c>
      <c r="H18" s="1">
        <v>24885</v>
      </c>
      <c r="I18" s="59" t="s">
        <v>2</v>
      </c>
    </row>
    <row r="19" spans="1:9" x14ac:dyDescent="0.2">
      <c r="A19">
        <v>490</v>
      </c>
      <c r="B19">
        <v>1212400</v>
      </c>
      <c r="C19">
        <v>0</v>
      </c>
      <c r="D19">
        <v>0</v>
      </c>
      <c r="E19">
        <v>0</v>
      </c>
      <c r="F19">
        <v>0</v>
      </c>
      <c r="G19">
        <v>0</v>
      </c>
      <c r="H19" s="1">
        <v>1200000</v>
      </c>
      <c r="I19" s="59" t="s">
        <v>2</v>
      </c>
    </row>
    <row r="20" spans="1:9" x14ac:dyDescent="0.2">
      <c r="A20">
        <v>220</v>
      </c>
      <c r="B20">
        <v>1214200</v>
      </c>
      <c r="C20">
        <v>0</v>
      </c>
      <c r="D20" s="1">
        <v>174964.15</v>
      </c>
      <c r="E20" s="1">
        <v>25035.85</v>
      </c>
      <c r="F20">
        <v>0</v>
      </c>
      <c r="G20" s="1">
        <v>200000</v>
      </c>
      <c r="H20" s="1">
        <v>311813.5</v>
      </c>
      <c r="I20" s="59" t="s">
        <v>2</v>
      </c>
    </row>
    <row r="21" spans="1:9" x14ac:dyDescent="0.2">
      <c r="A21">
        <v>220</v>
      </c>
      <c r="B21">
        <v>1214210</v>
      </c>
      <c r="C21">
        <v>0</v>
      </c>
      <c r="D21" s="1">
        <v>216780.39</v>
      </c>
      <c r="E21">
        <v>0</v>
      </c>
      <c r="F21" s="1">
        <v>36780.39</v>
      </c>
      <c r="G21" s="1">
        <v>180000</v>
      </c>
      <c r="H21" s="1">
        <v>202323.05</v>
      </c>
      <c r="I21" s="59" t="s">
        <v>2</v>
      </c>
    </row>
    <row r="22" spans="1:9" x14ac:dyDescent="0.2">
      <c r="A22">
        <v>910</v>
      </c>
      <c r="B22">
        <v>1222100</v>
      </c>
      <c r="C22">
        <v>0</v>
      </c>
      <c r="D22" s="1">
        <v>26000</v>
      </c>
      <c r="E22">
        <v>0</v>
      </c>
      <c r="F22">
        <v>0</v>
      </c>
      <c r="G22" s="1">
        <v>26000</v>
      </c>
      <c r="H22" s="1">
        <v>26000</v>
      </c>
      <c r="I22" s="59" t="s">
        <v>2</v>
      </c>
    </row>
    <row r="23" spans="1:9" x14ac:dyDescent="0.2">
      <c r="A23">
        <v>910</v>
      </c>
      <c r="B23">
        <v>1229999</v>
      </c>
      <c r="C23">
        <v>0</v>
      </c>
      <c r="D23" s="1">
        <v>965359.74</v>
      </c>
      <c r="E23">
        <v>0</v>
      </c>
      <c r="F23" s="1">
        <v>143359.74</v>
      </c>
      <c r="G23" s="1">
        <v>822000</v>
      </c>
      <c r="H23">
        <v>0</v>
      </c>
      <c r="I23" s="59" t="s">
        <v>2</v>
      </c>
    </row>
    <row r="24" spans="1:9" x14ac:dyDescent="0.2">
      <c r="A24">
        <v>690</v>
      </c>
      <c r="B24">
        <v>1230000</v>
      </c>
      <c r="C24">
        <v>0</v>
      </c>
      <c r="D24" s="1">
        <v>4057500</v>
      </c>
      <c r="E24">
        <v>0</v>
      </c>
      <c r="F24" s="1">
        <v>3957500</v>
      </c>
      <c r="G24" s="1">
        <v>100000</v>
      </c>
      <c r="H24" s="1">
        <v>4969411.99</v>
      </c>
      <c r="I24" s="59" t="s">
        <v>2</v>
      </c>
    </row>
    <row r="25" spans="1:9" x14ac:dyDescent="0.2">
      <c r="A25">
        <v>690</v>
      </c>
      <c r="B25">
        <v>1232000</v>
      </c>
      <c r="C25">
        <v>0</v>
      </c>
      <c r="D25" s="1">
        <v>1749</v>
      </c>
      <c r="E25">
        <v>0</v>
      </c>
      <c r="F25" s="1">
        <v>1749</v>
      </c>
      <c r="G25">
        <v>0</v>
      </c>
      <c r="H25">
        <v>192</v>
      </c>
      <c r="I25" s="59" t="s">
        <v>2</v>
      </c>
    </row>
    <row r="26" spans="1:9" x14ac:dyDescent="0.2">
      <c r="A26">
        <v>290</v>
      </c>
      <c r="B26">
        <v>1233100</v>
      </c>
      <c r="C26">
        <v>0</v>
      </c>
      <c r="D26" s="1">
        <v>1920615</v>
      </c>
      <c r="E26" s="1">
        <v>79385</v>
      </c>
      <c r="F26">
        <v>0</v>
      </c>
      <c r="G26" s="1">
        <v>2000000</v>
      </c>
      <c r="H26" s="1">
        <v>3064648.1</v>
      </c>
      <c r="I26" s="59" t="s">
        <v>2</v>
      </c>
    </row>
    <row r="27" spans="1:9" x14ac:dyDescent="0.2">
      <c r="A27">
        <v>540</v>
      </c>
      <c r="B27">
        <v>1269000</v>
      </c>
      <c r="C27">
        <v>0</v>
      </c>
      <c r="D27" s="1">
        <v>408417.32</v>
      </c>
      <c r="E27">
        <v>0</v>
      </c>
      <c r="F27" s="1">
        <v>328417.32</v>
      </c>
      <c r="G27" s="1">
        <v>80000</v>
      </c>
      <c r="H27" s="1">
        <v>342666.45</v>
      </c>
      <c r="I27" s="59" t="s">
        <v>2</v>
      </c>
    </row>
    <row r="28" spans="1:9" x14ac:dyDescent="0.2">
      <c r="A28">
        <v>620</v>
      </c>
      <c r="B28">
        <v>1269000</v>
      </c>
      <c r="C28">
        <v>0</v>
      </c>
      <c r="D28" s="1">
        <v>3700</v>
      </c>
      <c r="E28" s="1">
        <v>2300</v>
      </c>
      <c r="F28">
        <v>0</v>
      </c>
      <c r="G28" s="1">
        <v>6000</v>
      </c>
      <c r="H28" s="1">
        <v>124086</v>
      </c>
      <c r="I28" s="59" t="s">
        <v>2</v>
      </c>
    </row>
    <row r="29" spans="1:9" x14ac:dyDescent="0.2">
      <c r="A29">
        <v>640</v>
      </c>
      <c r="B29">
        <v>1269000</v>
      </c>
      <c r="C29">
        <v>0</v>
      </c>
      <c r="D29">
        <v>0</v>
      </c>
      <c r="E29">
        <v>0</v>
      </c>
      <c r="F29">
        <v>0</v>
      </c>
      <c r="G29">
        <v>0</v>
      </c>
      <c r="H29" s="1">
        <v>383355</v>
      </c>
      <c r="I29" s="59" t="s">
        <v>2</v>
      </c>
    </row>
    <row r="30" spans="1:9" x14ac:dyDescent="0.2">
      <c r="A30">
        <v>690</v>
      </c>
      <c r="B30">
        <v>1269000</v>
      </c>
      <c r="C30">
        <v>0</v>
      </c>
      <c r="D30" s="1">
        <v>817934.56</v>
      </c>
      <c r="E30" s="1">
        <v>183065.44</v>
      </c>
      <c r="F30">
        <v>0</v>
      </c>
      <c r="G30" s="1">
        <v>1001000</v>
      </c>
      <c r="H30" s="1">
        <v>9004939.4800000004</v>
      </c>
      <c r="I30" s="59" t="s">
        <v>2</v>
      </c>
    </row>
    <row r="31" spans="1:9" x14ac:dyDescent="0.2">
      <c r="A31">
        <v>990</v>
      </c>
      <c r="B31">
        <v>1269000</v>
      </c>
      <c r="C31">
        <v>0</v>
      </c>
      <c r="D31" s="1">
        <v>120000</v>
      </c>
      <c r="E31" s="1">
        <v>106000</v>
      </c>
      <c r="F31">
        <v>0</v>
      </c>
      <c r="G31" s="1">
        <v>226000</v>
      </c>
      <c r="H31" s="1">
        <v>-11310.1</v>
      </c>
      <c r="I31" s="59" t="s">
        <v>2</v>
      </c>
    </row>
    <row r="32" spans="1:9" x14ac:dyDescent="0.2">
      <c r="A32">
        <v>690</v>
      </c>
      <c r="B32">
        <v>1269011</v>
      </c>
      <c r="C32">
        <v>0</v>
      </c>
      <c r="D32" s="1">
        <v>67210.8</v>
      </c>
      <c r="E32">
        <v>0</v>
      </c>
      <c r="F32" s="1">
        <v>37210.800000000003</v>
      </c>
      <c r="G32" s="1">
        <v>30000</v>
      </c>
      <c r="H32" s="1">
        <v>126250</v>
      </c>
      <c r="I32" s="59" t="s">
        <v>2</v>
      </c>
    </row>
    <row r="33" spans="1:9" x14ac:dyDescent="0.2">
      <c r="A33">
        <v>690</v>
      </c>
      <c r="B33">
        <v>1269012</v>
      </c>
      <c r="C33">
        <v>0</v>
      </c>
      <c r="D33" s="1">
        <v>32470</v>
      </c>
      <c r="E33">
        <v>0</v>
      </c>
      <c r="F33" s="1">
        <v>2470</v>
      </c>
      <c r="G33" s="1">
        <v>30000</v>
      </c>
      <c r="H33" s="1">
        <v>29760</v>
      </c>
      <c r="I33" s="59" t="s">
        <v>2</v>
      </c>
    </row>
    <row r="34" spans="1:9" x14ac:dyDescent="0.2">
      <c r="A34">
        <v>690</v>
      </c>
      <c r="B34">
        <v>1269021</v>
      </c>
      <c r="C34">
        <v>0</v>
      </c>
      <c r="D34">
        <v>34.4</v>
      </c>
      <c r="E34">
        <v>0</v>
      </c>
      <c r="F34">
        <v>34.4</v>
      </c>
      <c r="G34">
        <v>0</v>
      </c>
      <c r="H34">
        <v>0</v>
      </c>
      <c r="I34" s="59" t="s">
        <v>2</v>
      </c>
    </row>
    <row r="35" spans="1:9" x14ac:dyDescent="0.2">
      <c r="A35">
        <v>690</v>
      </c>
      <c r="B35">
        <v>1269022</v>
      </c>
      <c r="C35">
        <v>0</v>
      </c>
      <c r="D35">
        <v>180.2</v>
      </c>
      <c r="E35">
        <v>819.8</v>
      </c>
      <c r="F35">
        <v>0</v>
      </c>
      <c r="G35" s="1">
        <v>1000</v>
      </c>
      <c r="H35">
        <v>562.4</v>
      </c>
      <c r="I35" s="59" t="s">
        <v>2</v>
      </c>
    </row>
    <row r="36" spans="1:9" x14ac:dyDescent="0.2">
      <c r="A36">
        <v>690</v>
      </c>
      <c r="B36">
        <v>1269023</v>
      </c>
      <c r="C36">
        <v>0</v>
      </c>
      <c r="D36" s="1">
        <v>9600</v>
      </c>
      <c r="E36">
        <v>0</v>
      </c>
      <c r="F36" s="1">
        <v>9600</v>
      </c>
      <c r="G36">
        <v>0</v>
      </c>
      <c r="H36">
        <v>0</v>
      </c>
      <c r="I36" s="59" t="s">
        <v>2</v>
      </c>
    </row>
    <row r="37" spans="1:9" x14ac:dyDescent="0.2">
      <c r="A37">
        <v>690</v>
      </c>
      <c r="B37">
        <v>1269034</v>
      </c>
      <c r="C37">
        <v>0</v>
      </c>
      <c r="D37" s="1">
        <v>1620</v>
      </c>
      <c r="E37" s="1">
        <v>3380</v>
      </c>
      <c r="F37">
        <v>0</v>
      </c>
      <c r="G37" s="1">
        <v>5000</v>
      </c>
      <c r="H37" s="1">
        <v>12420.03</v>
      </c>
      <c r="I37" s="59" t="s">
        <v>2</v>
      </c>
    </row>
    <row r="38" spans="1:9" x14ac:dyDescent="0.2">
      <c r="A38">
        <v>690</v>
      </c>
      <c r="B38">
        <v>1269045</v>
      </c>
      <c r="C38">
        <v>0</v>
      </c>
      <c r="D38">
        <v>0</v>
      </c>
      <c r="E38">
        <v>0</v>
      </c>
      <c r="F38">
        <v>0</v>
      </c>
      <c r="G38">
        <v>0</v>
      </c>
      <c r="H38">
        <v>-1.26</v>
      </c>
      <c r="I38" s="59" t="s">
        <v>2</v>
      </c>
    </row>
    <row r="39" spans="1:9" x14ac:dyDescent="0.2">
      <c r="A39">
        <v>690</v>
      </c>
      <c r="B39">
        <v>1269050</v>
      </c>
      <c r="C39">
        <v>0</v>
      </c>
      <c r="D39" s="1">
        <v>6550</v>
      </c>
      <c r="E39">
        <v>0</v>
      </c>
      <c r="F39">
        <v>550</v>
      </c>
      <c r="G39" s="1">
        <v>6000</v>
      </c>
      <c r="H39" s="1">
        <v>15750</v>
      </c>
      <c r="I39" s="59" t="s">
        <v>2</v>
      </c>
    </row>
    <row r="40" spans="1:9" x14ac:dyDescent="0.2">
      <c r="A40">
        <v>690</v>
      </c>
      <c r="B40">
        <v>1269051</v>
      </c>
      <c r="C40">
        <v>0</v>
      </c>
      <c r="D40">
        <v>13.8</v>
      </c>
      <c r="E40">
        <v>0</v>
      </c>
      <c r="F40">
        <v>13.8</v>
      </c>
      <c r="G40">
        <v>0</v>
      </c>
      <c r="H40">
        <v>52.4</v>
      </c>
      <c r="I40" s="59" t="s">
        <v>2</v>
      </c>
    </row>
    <row r="41" spans="1:9" x14ac:dyDescent="0.2">
      <c r="A41">
        <v>690</v>
      </c>
      <c r="B41">
        <v>1269053</v>
      </c>
      <c r="C41">
        <v>0</v>
      </c>
      <c r="D41">
        <v>0</v>
      </c>
      <c r="E41" s="1">
        <v>229000</v>
      </c>
      <c r="F41">
        <v>0</v>
      </c>
      <c r="G41" s="1">
        <v>229000</v>
      </c>
      <c r="H41">
        <v>0</v>
      </c>
      <c r="I41" s="59" t="s">
        <v>2</v>
      </c>
    </row>
    <row r="42" spans="1:9" x14ac:dyDescent="0.2">
      <c r="A42">
        <v>690</v>
      </c>
      <c r="B42">
        <v>1269056</v>
      </c>
      <c r="C42">
        <v>0</v>
      </c>
      <c r="D42" s="1">
        <v>222364.53</v>
      </c>
      <c r="E42">
        <v>0</v>
      </c>
      <c r="F42" s="1">
        <v>22364.53</v>
      </c>
      <c r="G42" s="1">
        <v>200000</v>
      </c>
      <c r="H42" s="1">
        <v>253423.65</v>
      </c>
      <c r="I42" s="59" t="s">
        <v>2</v>
      </c>
    </row>
    <row r="43" spans="1:9" x14ac:dyDescent="0.2">
      <c r="A43">
        <v>690</v>
      </c>
      <c r="B43">
        <v>1269058</v>
      </c>
      <c r="C43">
        <v>0</v>
      </c>
      <c r="D43">
        <v>400</v>
      </c>
      <c r="E43">
        <v>0</v>
      </c>
      <c r="F43">
        <v>400</v>
      </c>
      <c r="G43">
        <v>0</v>
      </c>
      <c r="H43">
        <v>700</v>
      </c>
      <c r="I43" s="59" t="s">
        <v>2</v>
      </c>
    </row>
    <row r="44" spans="1:9" x14ac:dyDescent="0.2">
      <c r="A44">
        <v>690</v>
      </c>
      <c r="B44">
        <v>1269063</v>
      </c>
      <c r="C44">
        <v>0</v>
      </c>
      <c r="D44">
        <v>0</v>
      </c>
      <c r="E44">
        <v>0</v>
      </c>
      <c r="F44">
        <v>0</v>
      </c>
      <c r="G44">
        <v>0</v>
      </c>
      <c r="H44" s="1">
        <v>3007.6</v>
      </c>
      <c r="I44" s="59" t="s">
        <v>2</v>
      </c>
    </row>
    <row r="45" spans="1:9" x14ac:dyDescent="0.2">
      <c r="A45">
        <v>690</v>
      </c>
      <c r="B45">
        <v>1269068</v>
      </c>
      <c r="C45">
        <v>0</v>
      </c>
      <c r="D45">
        <v>0</v>
      </c>
      <c r="E45">
        <v>0</v>
      </c>
      <c r="F45">
        <v>0</v>
      </c>
      <c r="G45">
        <v>0</v>
      </c>
      <c r="H45">
        <v>500</v>
      </c>
      <c r="I45" s="59" t="s">
        <v>2</v>
      </c>
    </row>
    <row r="46" spans="1:9" x14ac:dyDescent="0.2">
      <c r="A46">
        <v>690</v>
      </c>
      <c r="B46">
        <v>1269069</v>
      </c>
      <c r="C46">
        <v>0</v>
      </c>
      <c r="D46" s="1">
        <v>194114.6</v>
      </c>
      <c r="E46">
        <v>0</v>
      </c>
      <c r="F46" s="1">
        <v>10114.6</v>
      </c>
      <c r="G46" s="1">
        <v>184000</v>
      </c>
      <c r="H46" s="1">
        <v>183695.76</v>
      </c>
      <c r="I46" s="59" t="s">
        <v>2</v>
      </c>
    </row>
    <row r="47" spans="1:9" x14ac:dyDescent="0.2">
      <c r="A47">
        <v>690</v>
      </c>
      <c r="B47">
        <v>1269074</v>
      </c>
      <c r="C47">
        <v>0</v>
      </c>
      <c r="D47" s="1">
        <v>19926</v>
      </c>
      <c r="E47">
        <v>0</v>
      </c>
      <c r="F47" s="1">
        <v>4926</v>
      </c>
      <c r="G47" s="1">
        <v>15000</v>
      </c>
      <c r="H47" s="1">
        <v>45614</v>
      </c>
      <c r="I47" s="59" t="s">
        <v>2</v>
      </c>
    </row>
    <row r="48" spans="1:9" x14ac:dyDescent="0.2">
      <c r="A48">
        <v>690</v>
      </c>
      <c r="B48">
        <v>1269077</v>
      </c>
      <c r="C48">
        <v>0</v>
      </c>
      <c r="D48" s="1">
        <v>4256</v>
      </c>
      <c r="E48" s="1">
        <v>1744</v>
      </c>
      <c r="F48">
        <v>0</v>
      </c>
      <c r="G48" s="1">
        <v>6000</v>
      </c>
      <c r="H48" s="1">
        <v>9037</v>
      </c>
      <c r="I48" s="59" t="s">
        <v>2</v>
      </c>
    </row>
    <row r="49" spans="1:9" x14ac:dyDescent="0.2">
      <c r="A49">
        <v>690</v>
      </c>
      <c r="B49">
        <v>1269090</v>
      </c>
      <c r="C49">
        <v>0</v>
      </c>
      <c r="D49">
        <v>-450</v>
      </c>
      <c r="E49">
        <v>450</v>
      </c>
      <c r="F49">
        <v>0</v>
      </c>
      <c r="G49">
        <v>0</v>
      </c>
      <c r="H49" s="1">
        <v>3450</v>
      </c>
      <c r="I49" s="59" t="s">
        <v>2</v>
      </c>
    </row>
    <row r="50" spans="1:9" x14ac:dyDescent="0.2">
      <c r="A50">
        <v>990</v>
      </c>
      <c r="B50">
        <v>1269100</v>
      </c>
      <c r="C50">
        <v>0</v>
      </c>
      <c r="D50" s="1">
        <v>-751390.81</v>
      </c>
      <c r="E50" s="1">
        <v>1451390.81</v>
      </c>
      <c r="F50">
        <v>0</v>
      </c>
      <c r="G50" s="1">
        <v>700000</v>
      </c>
      <c r="H50" s="1">
        <v>1433895.72</v>
      </c>
      <c r="I50" s="59" t="s">
        <v>2</v>
      </c>
    </row>
    <row r="51" spans="1:9" x14ac:dyDescent="0.2">
      <c r="A51">
        <v>690</v>
      </c>
      <c r="B51">
        <v>1269200</v>
      </c>
      <c r="C51">
        <v>0</v>
      </c>
      <c r="D51" s="1">
        <v>2270</v>
      </c>
      <c r="E51">
        <v>0</v>
      </c>
      <c r="F51">
        <v>270</v>
      </c>
      <c r="G51" s="1">
        <v>2000</v>
      </c>
      <c r="H51" s="1">
        <v>1620</v>
      </c>
      <c r="I51" s="59" t="s">
        <v>2</v>
      </c>
    </row>
    <row r="52" spans="1:9" x14ac:dyDescent="0.2">
      <c r="A52">
        <v>690</v>
      </c>
      <c r="B52">
        <v>1273200</v>
      </c>
      <c r="C52">
        <v>0</v>
      </c>
      <c r="D52" s="1">
        <v>372000</v>
      </c>
      <c r="E52" s="1">
        <v>1104000</v>
      </c>
      <c r="F52">
        <v>0</v>
      </c>
      <c r="G52" s="1">
        <v>1476000</v>
      </c>
      <c r="H52" s="1">
        <v>3418000</v>
      </c>
      <c r="I52" s="59" t="s">
        <v>2</v>
      </c>
    </row>
    <row r="53" spans="1:9" x14ac:dyDescent="0.2">
      <c r="A53">
        <v>690</v>
      </c>
      <c r="B53">
        <v>1281200</v>
      </c>
      <c r="C53">
        <v>0</v>
      </c>
      <c r="D53" s="1">
        <v>406154</v>
      </c>
      <c r="E53">
        <v>0</v>
      </c>
      <c r="F53" s="1">
        <v>156154</v>
      </c>
      <c r="G53" s="1">
        <v>250000</v>
      </c>
      <c r="H53" s="1">
        <v>124456.42</v>
      </c>
      <c r="I53" s="59" t="s">
        <v>2</v>
      </c>
    </row>
    <row r="54" spans="1:9" x14ac:dyDescent="0.2">
      <c r="A54">
        <v>690</v>
      </c>
      <c r="B54">
        <v>1282000</v>
      </c>
      <c r="C54">
        <v>0</v>
      </c>
      <c r="D54" s="1">
        <v>222057</v>
      </c>
      <c r="E54">
        <v>0</v>
      </c>
      <c r="F54" s="1">
        <v>22057</v>
      </c>
      <c r="G54" s="1">
        <v>200000</v>
      </c>
      <c r="H54" s="1">
        <v>278904.96000000002</v>
      </c>
      <c r="I54" s="59" t="s">
        <v>2</v>
      </c>
    </row>
    <row r="55" spans="1:9" x14ac:dyDescent="0.2">
      <c r="A55">
        <v>690</v>
      </c>
      <c r="B55">
        <v>1282100</v>
      </c>
      <c r="C55">
        <v>0</v>
      </c>
      <c r="D55" s="1">
        <v>26895.83</v>
      </c>
      <c r="E55" s="1">
        <v>233104.17</v>
      </c>
      <c r="F55">
        <v>0</v>
      </c>
      <c r="G55" s="1">
        <v>260000</v>
      </c>
      <c r="H55" s="1">
        <v>152138.28</v>
      </c>
      <c r="I55" s="59" t="s">
        <v>2</v>
      </c>
    </row>
    <row r="56" spans="1:9" x14ac:dyDescent="0.2">
      <c r="A56">
        <v>410</v>
      </c>
      <c r="B56">
        <v>1312200</v>
      </c>
      <c r="C56">
        <v>0</v>
      </c>
      <c r="D56">
        <v>-448</v>
      </c>
      <c r="E56">
        <v>448</v>
      </c>
      <c r="F56">
        <v>0</v>
      </c>
      <c r="G56">
        <v>0</v>
      </c>
      <c r="H56">
        <v>184.13</v>
      </c>
      <c r="I56" s="59" t="s">
        <v>2</v>
      </c>
    </row>
    <row r="57" spans="1:9" x14ac:dyDescent="0.2">
      <c r="A57">
        <v>420</v>
      </c>
      <c r="B57">
        <v>1312200</v>
      </c>
      <c r="C57">
        <v>0</v>
      </c>
      <c r="D57" s="1">
        <v>251453.31</v>
      </c>
      <c r="E57">
        <v>0</v>
      </c>
      <c r="F57" s="1">
        <v>20453.310000000001</v>
      </c>
      <c r="G57" s="1">
        <v>231000</v>
      </c>
      <c r="H57" s="1">
        <v>325020.59999999998</v>
      </c>
      <c r="I57" s="59" t="s">
        <v>2</v>
      </c>
    </row>
    <row r="58" spans="1:9" x14ac:dyDescent="0.2">
      <c r="A58">
        <v>421</v>
      </c>
      <c r="B58">
        <v>1312200</v>
      </c>
      <c r="C58">
        <v>0</v>
      </c>
      <c r="D58" s="1">
        <v>69961.5</v>
      </c>
      <c r="E58">
        <v>0</v>
      </c>
      <c r="F58" s="1">
        <v>69961.5</v>
      </c>
      <c r="G58">
        <v>0</v>
      </c>
      <c r="H58">
        <v>0</v>
      </c>
      <c r="I58" s="59" t="s">
        <v>2</v>
      </c>
    </row>
    <row r="59" spans="1:9" x14ac:dyDescent="0.2">
      <c r="A59">
        <v>920</v>
      </c>
      <c r="B59">
        <v>1312200</v>
      </c>
      <c r="C59">
        <v>0</v>
      </c>
      <c r="D59" s="1">
        <v>4667346.5199999996</v>
      </c>
      <c r="E59">
        <v>0</v>
      </c>
      <c r="F59" s="1">
        <v>4667346.5199999996</v>
      </c>
      <c r="G59">
        <v>0</v>
      </c>
      <c r="H59" s="1">
        <v>4427708.67</v>
      </c>
      <c r="I59" s="59" t="s">
        <v>2</v>
      </c>
    </row>
    <row r="60" spans="1:9" x14ac:dyDescent="0.2">
      <c r="A60">
        <v>410</v>
      </c>
      <c r="B60">
        <v>1312300</v>
      </c>
      <c r="C60">
        <v>0</v>
      </c>
      <c r="D60" s="1">
        <v>981673.01</v>
      </c>
      <c r="E60">
        <v>0</v>
      </c>
      <c r="F60" s="1">
        <v>613673.01</v>
      </c>
      <c r="G60" s="1">
        <v>368000</v>
      </c>
      <c r="H60" s="1">
        <v>307759.40999999997</v>
      </c>
      <c r="I60" s="59" t="s">
        <v>2</v>
      </c>
    </row>
    <row r="61" spans="1:9" x14ac:dyDescent="0.2">
      <c r="A61">
        <v>920</v>
      </c>
      <c r="B61">
        <v>1312300</v>
      </c>
      <c r="C61">
        <v>0</v>
      </c>
      <c r="D61" s="1">
        <v>10362118.07</v>
      </c>
      <c r="E61" s="1">
        <v>779881.93</v>
      </c>
      <c r="F61">
        <v>0</v>
      </c>
      <c r="G61" s="1">
        <v>11142000</v>
      </c>
      <c r="H61" s="1">
        <v>11285952.48</v>
      </c>
      <c r="I61" s="59" t="s">
        <v>2</v>
      </c>
    </row>
    <row r="62" spans="1:9" x14ac:dyDescent="0.2">
      <c r="A62">
        <v>410</v>
      </c>
      <c r="B62">
        <v>1312310</v>
      </c>
      <c r="C62">
        <v>0</v>
      </c>
      <c r="D62" s="1">
        <v>11325.31</v>
      </c>
      <c r="E62" s="1">
        <v>28674.69</v>
      </c>
      <c r="F62">
        <v>0</v>
      </c>
      <c r="G62" s="1">
        <v>40000</v>
      </c>
      <c r="H62" s="1">
        <v>418649.84</v>
      </c>
      <c r="I62" s="59" t="s">
        <v>2</v>
      </c>
    </row>
    <row r="63" spans="1:9" x14ac:dyDescent="0.2">
      <c r="A63">
        <v>920</v>
      </c>
      <c r="B63">
        <v>1312310</v>
      </c>
      <c r="C63">
        <v>0</v>
      </c>
      <c r="D63" s="1">
        <v>5382778.2699999996</v>
      </c>
      <c r="E63" s="1">
        <v>3168221.73</v>
      </c>
      <c r="F63">
        <v>0</v>
      </c>
      <c r="G63" s="1">
        <v>8551000</v>
      </c>
      <c r="H63" s="1">
        <v>2746532.48</v>
      </c>
      <c r="I63" s="59" t="s">
        <v>2</v>
      </c>
    </row>
    <row r="64" spans="1:9" x14ac:dyDescent="0.2">
      <c r="A64">
        <v>410</v>
      </c>
      <c r="B64">
        <v>1312400</v>
      </c>
      <c r="C64">
        <v>0</v>
      </c>
      <c r="D64" s="1">
        <v>927868.19</v>
      </c>
      <c r="E64" s="1">
        <v>1128131.81</v>
      </c>
      <c r="F64">
        <v>0</v>
      </c>
      <c r="G64" s="1">
        <v>2056000</v>
      </c>
      <c r="H64" s="1">
        <v>3115707.62</v>
      </c>
      <c r="I64" s="59" t="s">
        <v>2</v>
      </c>
    </row>
    <row r="65" spans="1:9" x14ac:dyDescent="0.2">
      <c r="A65">
        <v>920</v>
      </c>
      <c r="B65">
        <v>1312500</v>
      </c>
      <c r="C65">
        <v>0</v>
      </c>
      <c r="D65" s="1">
        <v>231941.01</v>
      </c>
      <c r="E65">
        <v>0</v>
      </c>
      <c r="F65" s="1">
        <v>105941.01</v>
      </c>
      <c r="G65" s="1">
        <v>126000</v>
      </c>
      <c r="H65" s="1">
        <v>59520.99</v>
      </c>
      <c r="I65" s="59" t="s">
        <v>2</v>
      </c>
    </row>
    <row r="66" spans="1:9" x14ac:dyDescent="0.2">
      <c r="A66">
        <v>220</v>
      </c>
      <c r="B66">
        <v>1312800</v>
      </c>
      <c r="C66">
        <v>0</v>
      </c>
      <c r="D66" s="1">
        <v>460939.81</v>
      </c>
      <c r="E66" s="1">
        <v>23060.19</v>
      </c>
      <c r="F66">
        <v>0</v>
      </c>
      <c r="G66" s="1">
        <v>484000</v>
      </c>
      <c r="H66" s="1">
        <v>440275.61</v>
      </c>
      <c r="I66" s="59" t="s">
        <v>2</v>
      </c>
    </row>
    <row r="67" spans="1:9" x14ac:dyDescent="0.2">
      <c r="A67">
        <v>221</v>
      </c>
      <c r="B67">
        <v>1312800</v>
      </c>
      <c r="C67">
        <v>0</v>
      </c>
      <c r="D67" s="1">
        <v>3330</v>
      </c>
      <c r="E67">
        <v>0</v>
      </c>
      <c r="F67" s="1">
        <v>3330</v>
      </c>
      <c r="G67">
        <v>0</v>
      </c>
      <c r="H67">
        <v>0</v>
      </c>
      <c r="I67" s="59" t="s">
        <v>2</v>
      </c>
    </row>
    <row r="68" spans="1:9" x14ac:dyDescent="0.2">
      <c r="A68">
        <v>920</v>
      </c>
      <c r="B68">
        <v>1312800</v>
      </c>
      <c r="C68">
        <v>0</v>
      </c>
      <c r="D68" s="1">
        <v>288203.40000000002</v>
      </c>
      <c r="E68" s="1">
        <v>671796.6</v>
      </c>
      <c r="F68">
        <v>0</v>
      </c>
      <c r="G68" s="1">
        <v>960000</v>
      </c>
      <c r="H68">
        <v>0</v>
      </c>
      <c r="I68" s="59" t="s">
        <v>2</v>
      </c>
    </row>
    <row r="69" spans="1:9" x14ac:dyDescent="0.2">
      <c r="A69">
        <v>920</v>
      </c>
      <c r="B69">
        <v>1312900</v>
      </c>
      <c r="C69">
        <v>0</v>
      </c>
      <c r="D69">
        <v>0</v>
      </c>
      <c r="E69" s="1">
        <v>91000</v>
      </c>
      <c r="F69">
        <v>0</v>
      </c>
      <c r="G69" s="1">
        <v>91000</v>
      </c>
      <c r="H69">
        <v>0</v>
      </c>
      <c r="I69" s="59" t="s">
        <v>2</v>
      </c>
    </row>
    <row r="70" spans="1:9" x14ac:dyDescent="0.2">
      <c r="A70">
        <v>920</v>
      </c>
      <c r="B70">
        <v>1313200</v>
      </c>
      <c r="C70">
        <v>0</v>
      </c>
      <c r="D70" s="1">
        <v>4853040.42</v>
      </c>
      <c r="E70">
        <v>0</v>
      </c>
      <c r="F70" s="1">
        <v>491040.42</v>
      </c>
      <c r="G70" s="1">
        <v>4362000</v>
      </c>
      <c r="H70" s="1">
        <v>2737582.02</v>
      </c>
      <c r="I70" s="59" t="s">
        <v>2</v>
      </c>
    </row>
    <row r="71" spans="1:9" x14ac:dyDescent="0.2">
      <c r="A71">
        <v>921</v>
      </c>
      <c r="B71">
        <v>1313200</v>
      </c>
      <c r="C71">
        <v>0</v>
      </c>
      <c r="D71" s="1">
        <v>1528087.11</v>
      </c>
      <c r="E71">
        <v>0</v>
      </c>
      <c r="F71" s="1">
        <v>144087.10999999999</v>
      </c>
      <c r="G71" s="1">
        <v>1384000</v>
      </c>
      <c r="H71" s="1">
        <v>4403002.71</v>
      </c>
      <c r="I71" s="59" t="s">
        <v>2</v>
      </c>
    </row>
    <row r="72" spans="1:9" x14ac:dyDescent="0.2">
      <c r="A72">
        <v>921</v>
      </c>
      <c r="B72">
        <v>1313201</v>
      </c>
      <c r="C72">
        <v>0</v>
      </c>
      <c r="D72" s="1">
        <v>232765.25</v>
      </c>
      <c r="E72">
        <v>0</v>
      </c>
      <c r="F72" s="1">
        <v>152765.25</v>
      </c>
      <c r="G72" s="1">
        <v>80000</v>
      </c>
      <c r="H72" s="1">
        <v>-214532.97</v>
      </c>
      <c r="I72" s="59" t="s">
        <v>2</v>
      </c>
    </row>
    <row r="73" spans="1:9" x14ac:dyDescent="0.2">
      <c r="A73">
        <v>920</v>
      </c>
      <c r="B73">
        <v>1313213</v>
      </c>
      <c r="C73">
        <v>0</v>
      </c>
      <c r="D73" s="1">
        <v>-53624</v>
      </c>
      <c r="E73" s="1">
        <v>561624</v>
      </c>
      <c r="F73">
        <v>0</v>
      </c>
      <c r="G73" s="1">
        <v>508000</v>
      </c>
      <c r="H73" s="1">
        <v>1087052.8</v>
      </c>
      <c r="I73" s="59" t="s">
        <v>2</v>
      </c>
    </row>
    <row r="74" spans="1:9" x14ac:dyDescent="0.2">
      <c r="A74">
        <v>920</v>
      </c>
      <c r="B74">
        <v>1313214</v>
      </c>
      <c r="C74">
        <v>0</v>
      </c>
      <c r="D74" s="1">
        <v>323182.03000000003</v>
      </c>
      <c r="E74">
        <v>0</v>
      </c>
      <c r="F74" s="1">
        <v>123182.03</v>
      </c>
      <c r="G74" s="1">
        <v>200000</v>
      </c>
      <c r="H74" s="1">
        <v>309787.12</v>
      </c>
      <c r="I74" s="59" t="s">
        <v>2</v>
      </c>
    </row>
    <row r="75" spans="1:9" x14ac:dyDescent="0.2">
      <c r="A75">
        <v>920</v>
      </c>
      <c r="B75">
        <v>1313215</v>
      </c>
      <c r="C75">
        <v>0</v>
      </c>
      <c r="D75" s="1">
        <v>11961</v>
      </c>
      <c r="E75" s="1">
        <v>138039</v>
      </c>
      <c r="F75">
        <v>0</v>
      </c>
      <c r="G75" s="1">
        <v>150000</v>
      </c>
      <c r="H75" s="1">
        <v>675026</v>
      </c>
      <c r="I75" s="59" t="s">
        <v>2</v>
      </c>
    </row>
    <row r="76" spans="1:9" x14ac:dyDescent="0.2">
      <c r="A76">
        <v>920</v>
      </c>
      <c r="B76">
        <v>1313230</v>
      </c>
      <c r="C76">
        <v>0</v>
      </c>
      <c r="D76" s="1">
        <v>9196.0499999999993</v>
      </c>
      <c r="E76" s="1">
        <v>20803.95</v>
      </c>
      <c r="F76">
        <v>0</v>
      </c>
      <c r="G76" s="1">
        <v>30000</v>
      </c>
      <c r="H76" s="1">
        <v>49821.96</v>
      </c>
      <c r="I76" s="59" t="s">
        <v>2</v>
      </c>
    </row>
    <row r="77" spans="1:9" x14ac:dyDescent="0.2">
      <c r="A77">
        <v>920</v>
      </c>
      <c r="B77">
        <v>1313240</v>
      </c>
      <c r="C77">
        <v>0</v>
      </c>
      <c r="D77" s="1">
        <v>10739702.98</v>
      </c>
      <c r="E77">
        <v>0</v>
      </c>
      <c r="F77" s="1">
        <v>1041702.98</v>
      </c>
      <c r="G77" s="1">
        <v>9698000</v>
      </c>
      <c r="H77" s="1">
        <v>9249893.6300000008</v>
      </c>
      <c r="I77" s="59" t="s">
        <v>2</v>
      </c>
    </row>
    <row r="78" spans="1:9" x14ac:dyDescent="0.2">
      <c r="A78">
        <v>920</v>
      </c>
      <c r="B78">
        <v>1313250</v>
      </c>
      <c r="C78">
        <v>0</v>
      </c>
      <c r="D78" s="1">
        <v>3052551.61</v>
      </c>
      <c r="E78">
        <v>0</v>
      </c>
      <c r="F78" s="1">
        <v>237551.61</v>
      </c>
      <c r="G78" s="1">
        <v>2815000</v>
      </c>
      <c r="H78" s="1">
        <v>3041654.14</v>
      </c>
      <c r="I78" s="59" t="s">
        <v>2</v>
      </c>
    </row>
    <row r="79" spans="1:9" x14ac:dyDescent="0.2">
      <c r="A79">
        <v>920</v>
      </c>
      <c r="B79">
        <v>1313260</v>
      </c>
      <c r="C79">
        <v>0</v>
      </c>
      <c r="D79" s="1">
        <v>307817.03999999998</v>
      </c>
      <c r="E79">
        <v>0</v>
      </c>
      <c r="F79" s="1">
        <v>287817.03999999998</v>
      </c>
      <c r="G79" s="1">
        <v>20000</v>
      </c>
      <c r="H79" s="1">
        <v>154955.51999999999</v>
      </c>
      <c r="I79" s="59" t="s">
        <v>2</v>
      </c>
    </row>
    <row r="80" spans="1:9" x14ac:dyDescent="0.2">
      <c r="A80">
        <v>920</v>
      </c>
      <c r="B80">
        <v>1313270</v>
      </c>
      <c r="C80">
        <v>0</v>
      </c>
      <c r="D80" s="1">
        <v>255557.81</v>
      </c>
      <c r="E80">
        <v>0</v>
      </c>
      <c r="F80" s="1">
        <v>13557.81</v>
      </c>
      <c r="G80" s="1">
        <v>242000</v>
      </c>
      <c r="H80" s="1">
        <v>257231.26</v>
      </c>
      <c r="I80" s="59" t="s">
        <v>2</v>
      </c>
    </row>
    <row r="81" spans="1:9" x14ac:dyDescent="0.2">
      <c r="A81">
        <v>420</v>
      </c>
      <c r="B81">
        <v>1313700</v>
      </c>
      <c r="C81">
        <v>0</v>
      </c>
      <c r="D81" s="1">
        <v>25963</v>
      </c>
      <c r="E81">
        <v>37</v>
      </c>
      <c r="F81">
        <v>0</v>
      </c>
      <c r="G81" s="1">
        <v>26000</v>
      </c>
      <c r="H81" s="1">
        <v>39022</v>
      </c>
      <c r="I81" s="59" t="s">
        <v>2</v>
      </c>
    </row>
    <row r="82" spans="1:9" x14ac:dyDescent="0.2">
      <c r="A82">
        <v>990</v>
      </c>
      <c r="B82">
        <v>1313700</v>
      </c>
      <c r="C82">
        <v>0</v>
      </c>
      <c r="D82">
        <v>0</v>
      </c>
      <c r="E82">
        <v>0</v>
      </c>
      <c r="F82">
        <v>0</v>
      </c>
      <c r="G82">
        <v>0</v>
      </c>
      <c r="H82" s="1">
        <v>24000.2</v>
      </c>
      <c r="I82" s="59" t="s">
        <v>2</v>
      </c>
    </row>
    <row r="83" spans="1:9" x14ac:dyDescent="0.2">
      <c r="A83">
        <v>430</v>
      </c>
      <c r="B83">
        <v>1315000</v>
      </c>
      <c r="C83">
        <v>0</v>
      </c>
      <c r="D83" s="1">
        <v>261359</v>
      </c>
      <c r="E83" s="1">
        <v>188641</v>
      </c>
      <c r="F83">
        <v>0</v>
      </c>
      <c r="G83" s="1">
        <v>450000</v>
      </c>
      <c r="H83" s="1">
        <v>1557317</v>
      </c>
      <c r="I83" s="59" t="s">
        <v>2</v>
      </c>
    </row>
    <row r="84" spans="1:9" x14ac:dyDescent="0.2">
      <c r="A84">
        <v>430</v>
      </c>
      <c r="B84">
        <v>1315100</v>
      </c>
      <c r="C84">
        <v>0</v>
      </c>
      <c r="D84" s="1">
        <v>18556.2</v>
      </c>
      <c r="E84">
        <v>0</v>
      </c>
      <c r="F84" s="1">
        <v>18556.2</v>
      </c>
      <c r="G84">
        <v>0</v>
      </c>
      <c r="H84">
        <v>0</v>
      </c>
      <c r="I84" s="59" t="s">
        <v>2</v>
      </c>
    </row>
    <row r="85" spans="1:9" x14ac:dyDescent="0.2">
      <c r="A85">
        <v>920</v>
      </c>
      <c r="B85">
        <v>1317100</v>
      </c>
      <c r="C85">
        <v>0</v>
      </c>
      <c r="D85" s="1">
        <v>144468.15</v>
      </c>
      <c r="E85" s="1">
        <v>8531.85</v>
      </c>
      <c r="F85">
        <v>0</v>
      </c>
      <c r="G85" s="1">
        <v>153000</v>
      </c>
      <c r="H85" s="1">
        <v>156218.78</v>
      </c>
      <c r="I85" s="59" t="s">
        <v>2</v>
      </c>
    </row>
    <row r="86" spans="1:9" x14ac:dyDescent="0.2">
      <c r="A86">
        <v>990</v>
      </c>
      <c r="B86">
        <v>1317100</v>
      </c>
      <c r="C86">
        <v>0</v>
      </c>
      <c r="D86" s="1">
        <v>1836449.42</v>
      </c>
      <c r="E86">
        <v>0</v>
      </c>
      <c r="F86" s="1">
        <v>949449.42</v>
      </c>
      <c r="G86" s="1">
        <v>887000</v>
      </c>
      <c r="H86">
        <v>0</v>
      </c>
      <c r="I86" s="59" t="s">
        <v>2</v>
      </c>
    </row>
    <row r="87" spans="1:9" x14ac:dyDescent="0.2">
      <c r="A87">
        <v>920</v>
      </c>
      <c r="B87">
        <v>1317199</v>
      </c>
      <c r="C87">
        <v>0</v>
      </c>
      <c r="D87" s="1">
        <v>955056.4</v>
      </c>
      <c r="E87">
        <v>0</v>
      </c>
      <c r="F87" s="1">
        <v>955056.4</v>
      </c>
      <c r="G87">
        <v>0</v>
      </c>
      <c r="H87">
        <v>0</v>
      </c>
      <c r="I87" s="59" t="s">
        <v>2</v>
      </c>
    </row>
    <row r="88" spans="1:9" x14ac:dyDescent="0.2">
      <c r="A88">
        <v>921</v>
      </c>
      <c r="B88">
        <v>1317199</v>
      </c>
      <c r="C88">
        <v>0</v>
      </c>
      <c r="D88" s="1">
        <v>83916</v>
      </c>
      <c r="E88">
        <v>0</v>
      </c>
      <c r="F88" s="1">
        <v>83916</v>
      </c>
      <c r="G88">
        <v>0</v>
      </c>
      <c r="H88">
        <v>0</v>
      </c>
      <c r="I88" s="59" t="s">
        <v>2</v>
      </c>
    </row>
    <row r="89" spans="1:9" x14ac:dyDescent="0.2">
      <c r="A89">
        <v>220</v>
      </c>
      <c r="B89">
        <v>1317300</v>
      </c>
      <c r="C89">
        <v>0</v>
      </c>
      <c r="D89">
        <v>0</v>
      </c>
      <c r="E89" s="1">
        <v>1000</v>
      </c>
      <c r="F89">
        <v>0</v>
      </c>
      <c r="G89" s="1">
        <v>1000</v>
      </c>
      <c r="H89">
        <v>0</v>
      </c>
      <c r="I89" s="59" t="s">
        <v>2</v>
      </c>
    </row>
    <row r="90" spans="1:9" x14ac:dyDescent="0.2">
      <c r="A90">
        <v>690</v>
      </c>
      <c r="B90">
        <v>1317300</v>
      </c>
      <c r="C90">
        <v>0</v>
      </c>
      <c r="D90">
        <v>0</v>
      </c>
      <c r="E90" s="1">
        <v>1000</v>
      </c>
      <c r="F90">
        <v>0</v>
      </c>
      <c r="G90" s="1">
        <v>1000</v>
      </c>
      <c r="H90">
        <v>140</v>
      </c>
      <c r="I90" s="59" t="s">
        <v>2</v>
      </c>
    </row>
    <row r="91" spans="1:9" x14ac:dyDescent="0.2">
      <c r="A91">
        <v>920</v>
      </c>
      <c r="B91">
        <v>1317300</v>
      </c>
      <c r="C91">
        <v>0</v>
      </c>
      <c r="D91" s="1">
        <v>1891442.9</v>
      </c>
      <c r="E91" s="1">
        <v>133557.1</v>
      </c>
      <c r="F91">
        <v>0</v>
      </c>
      <c r="G91" s="1">
        <v>2025000</v>
      </c>
      <c r="H91" s="1">
        <v>1829059.64</v>
      </c>
      <c r="I91" s="59" t="s">
        <v>2</v>
      </c>
    </row>
    <row r="92" spans="1:9" x14ac:dyDescent="0.2">
      <c r="A92">
        <v>920</v>
      </c>
      <c r="B92">
        <v>1317700</v>
      </c>
      <c r="C92">
        <v>0</v>
      </c>
      <c r="D92" s="1">
        <v>469167.55</v>
      </c>
      <c r="E92" s="1">
        <v>45832.45</v>
      </c>
      <c r="F92">
        <v>0</v>
      </c>
      <c r="G92" s="1">
        <v>515000</v>
      </c>
      <c r="H92" s="1">
        <v>457274.31</v>
      </c>
      <c r="I92" s="59" t="s">
        <v>2</v>
      </c>
    </row>
    <row r="93" spans="1:9" x14ac:dyDescent="0.2">
      <c r="A93">
        <v>920</v>
      </c>
      <c r="B93">
        <v>1317800</v>
      </c>
      <c r="C93">
        <v>0</v>
      </c>
      <c r="D93" s="1">
        <v>4167744.26</v>
      </c>
      <c r="E93" s="1">
        <v>370255.74</v>
      </c>
      <c r="F93">
        <v>0</v>
      </c>
      <c r="G93" s="1">
        <v>4538000</v>
      </c>
      <c r="H93" s="1">
        <v>5330415.6399999997</v>
      </c>
      <c r="I93" s="59" t="s">
        <v>2</v>
      </c>
    </row>
    <row r="94" spans="1:9" x14ac:dyDescent="0.2">
      <c r="A94">
        <v>220</v>
      </c>
      <c r="B94">
        <v>1317900</v>
      </c>
      <c r="C94">
        <v>0</v>
      </c>
      <c r="D94" s="1">
        <v>50447.08</v>
      </c>
      <c r="E94">
        <v>0</v>
      </c>
      <c r="F94">
        <v>447.08</v>
      </c>
      <c r="G94" s="1">
        <v>50000</v>
      </c>
      <c r="H94" s="1">
        <v>33084.6</v>
      </c>
      <c r="I94" s="59" t="s">
        <v>2</v>
      </c>
    </row>
    <row r="95" spans="1:9" x14ac:dyDescent="0.2">
      <c r="A95">
        <v>220</v>
      </c>
      <c r="B95">
        <v>1317910</v>
      </c>
      <c r="C95">
        <v>0</v>
      </c>
      <c r="D95">
        <v>-1.1399999999999999</v>
      </c>
      <c r="E95">
        <v>1.1399999999999999</v>
      </c>
      <c r="F95">
        <v>0</v>
      </c>
      <c r="G95">
        <v>0</v>
      </c>
      <c r="H95">
        <v>0.04</v>
      </c>
      <c r="I95" s="59" t="s">
        <v>2</v>
      </c>
    </row>
    <row r="96" spans="1:9" x14ac:dyDescent="0.2">
      <c r="A96">
        <v>221</v>
      </c>
      <c r="B96">
        <v>1317910</v>
      </c>
      <c r="C96">
        <v>0</v>
      </c>
      <c r="D96">
        <v>196</v>
      </c>
      <c r="E96">
        <v>0</v>
      </c>
      <c r="F96">
        <v>196</v>
      </c>
      <c r="G96">
        <v>0</v>
      </c>
      <c r="H96">
        <v>0</v>
      </c>
      <c r="I96" s="59" t="s">
        <v>2</v>
      </c>
    </row>
    <row r="97" spans="1:9" x14ac:dyDescent="0.2">
      <c r="A97">
        <v>220</v>
      </c>
      <c r="B97">
        <v>1317920</v>
      </c>
      <c r="C97">
        <v>0</v>
      </c>
      <c r="D97">
        <v>4.91</v>
      </c>
      <c r="E97">
        <v>0</v>
      </c>
      <c r="F97">
        <v>4.91</v>
      </c>
      <c r="G97">
        <v>0</v>
      </c>
      <c r="H97">
        <v>0</v>
      </c>
      <c r="I97" s="59" t="s">
        <v>2</v>
      </c>
    </row>
    <row r="98" spans="1:9" x14ac:dyDescent="0.2">
      <c r="A98">
        <v>220</v>
      </c>
      <c r="B98">
        <v>1317930</v>
      </c>
      <c r="C98">
        <v>0</v>
      </c>
      <c r="D98" s="1">
        <v>997929.47</v>
      </c>
      <c r="E98">
        <v>0</v>
      </c>
      <c r="F98" s="1">
        <v>797929.47</v>
      </c>
      <c r="G98" s="1">
        <v>200000</v>
      </c>
      <c r="H98" s="1">
        <v>891894.5</v>
      </c>
      <c r="I98" s="59" t="s">
        <v>2</v>
      </c>
    </row>
    <row r="99" spans="1:9" x14ac:dyDescent="0.2">
      <c r="A99">
        <v>420</v>
      </c>
      <c r="B99">
        <v>1322000</v>
      </c>
      <c r="C99">
        <v>0</v>
      </c>
      <c r="D99" s="1">
        <v>26240</v>
      </c>
      <c r="E99">
        <v>0</v>
      </c>
      <c r="F99" s="1">
        <v>26240</v>
      </c>
      <c r="G99">
        <v>0</v>
      </c>
      <c r="H99" s="1">
        <v>100197</v>
      </c>
      <c r="I99" s="59" t="s">
        <v>2</v>
      </c>
    </row>
    <row r="100" spans="1:9" x14ac:dyDescent="0.2">
      <c r="A100">
        <v>920</v>
      </c>
      <c r="B100">
        <v>1322000</v>
      </c>
      <c r="C100">
        <v>0</v>
      </c>
      <c r="D100" s="1">
        <v>380283</v>
      </c>
      <c r="E100">
        <v>0</v>
      </c>
      <c r="F100" s="1">
        <v>30283</v>
      </c>
      <c r="G100" s="1">
        <v>350000</v>
      </c>
      <c r="H100" s="1">
        <v>328960</v>
      </c>
      <c r="I100" s="59" t="s">
        <v>2</v>
      </c>
    </row>
    <row r="101" spans="1:9" x14ac:dyDescent="0.2">
      <c r="A101">
        <v>990</v>
      </c>
      <c r="B101">
        <v>1322000</v>
      </c>
      <c r="C101">
        <v>0</v>
      </c>
      <c r="D101" s="1">
        <v>93350</v>
      </c>
      <c r="E101" s="1">
        <v>196650</v>
      </c>
      <c r="F101">
        <v>0</v>
      </c>
      <c r="G101" s="1">
        <v>290000</v>
      </c>
      <c r="H101" s="1">
        <v>921719</v>
      </c>
      <c r="I101" s="59" t="s">
        <v>2</v>
      </c>
    </row>
    <row r="102" spans="1:9" x14ac:dyDescent="0.2">
      <c r="A102">
        <v>420</v>
      </c>
      <c r="B102">
        <v>1322100</v>
      </c>
      <c r="C102">
        <v>0</v>
      </c>
      <c r="D102" s="1">
        <v>147654</v>
      </c>
      <c r="E102">
        <v>0</v>
      </c>
      <c r="F102" s="1">
        <v>147654</v>
      </c>
      <c r="G102">
        <v>0</v>
      </c>
      <c r="H102" s="1">
        <v>326148</v>
      </c>
      <c r="I102" s="59" t="s">
        <v>2</v>
      </c>
    </row>
    <row r="103" spans="1:9" x14ac:dyDescent="0.2">
      <c r="A103">
        <v>920</v>
      </c>
      <c r="B103">
        <v>1322100</v>
      </c>
      <c r="C103">
        <v>0</v>
      </c>
      <c r="D103" s="1">
        <v>-803483</v>
      </c>
      <c r="E103" s="1">
        <v>803483</v>
      </c>
      <c r="F103">
        <v>0</v>
      </c>
      <c r="G103">
        <v>0</v>
      </c>
      <c r="H103" s="1">
        <v>825620</v>
      </c>
      <c r="I103" s="59" t="s">
        <v>2</v>
      </c>
    </row>
    <row r="104" spans="1:9" x14ac:dyDescent="0.2">
      <c r="A104">
        <v>420</v>
      </c>
      <c r="B104">
        <v>1322300</v>
      </c>
      <c r="C104">
        <v>0</v>
      </c>
      <c r="D104" s="1">
        <v>71330.149999999994</v>
      </c>
      <c r="E104">
        <v>0</v>
      </c>
      <c r="F104" s="1">
        <v>71330.149999999994</v>
      </c>
      <c r="G104">
        <v>0</v>
      </c>
      <c r="H104" s="1">
        <v>612232.9</v>
      </c>
      <c r="I104" s="59" t="s">
        <v>2</v>
      </c>
    </row>
    <row r="105" spans="1:9" x14ac:dyDescent="0.2">
      <c r="A105">
        <v>420</v>
      </c>
      <c r="B105">
        <v>1322400</v>
      </c>
      <c r="C105">
        <v>0</v>
      </c>
      <c r="D105" s="1">
        <v>18100</v>
      </c>
      <c r="E105">
        <v>0</v>
      </c>
      <c r="F105">
        <v>100</v>
      </c>
      <c r="G105" s="1">
        <v>18000</v>
      </c>
      <c r="H105" s="1">
        <v>1348</v>
      </c>
      <c r="I105" s="59" t="s">
        <v>2</v>
      </c>
    </row>
    <row r="106" spans="1:9" x14ac:dyDescent="0.2">
      <c r="A106">
        <v>990</v>
      </c>
      <c r="B106">
        <v>1322800</v>
      </c>
      <c r="C106">
        <v>0</v>
      </c>
      <c r="D106" s="1">
        <v>107728</v>
      </c>
      <c r="E106">
        <v>0</v>
      </c>
      <c r="F106" s="1">
        <v>107728</v>
      </c>
      <c r="G106">
        <v>0</v>
      </c>
      <c r="H106">
        <v>0</v>
      </c>
      <c r="I106" s="59" t="s">
        <v>2</v>
      </c>
    </row>
    <row r="107" spans="1:9" x14ac:dyDescent="0.2">
      <c r="A107">
        <v>420</v>
      </c>
      <c r="B107">
        <v>1323000</v>
      </c>
      <c r="C107">
        <v>0</v>
      </c>
      <c r="D107" s="1">
        <v>13710</v>
      </c>
      <c r="E107" s="1">
        <v>1290</v>
      </c>
      <c r="F107">
        <v>0</v>
      </c>
      <c r="G107" s="1">
        <v>15000</v>
      </c>
      <c r="H107" s="1">
        <v>40169.5</v>
      </c>
      <c r="I107" s="59" t="s">
        <v>2</v>
      </c>
    </row>
    <row r="108" spans="1:9" x14ac:dyDescent="0.2">
      <c r="A108">
        <v>220</v>
      </c>
      <c r="B108">
        <v>1325100</v>
      </c>
      <c r="C108">
        <v>0</v>
      </c>
      <c r="D108" s="1">
        <v>1936855.27</v>
      </c>
      <c r="E108">
        <v>0</v>
      </c>
      <c r="F108" s="1">
        <v>486855.27</v>
      </c>
      <c r="G108" s="1">
        <v>1450000</v>
      </c>
      <c r="H108" s="1">
        <v>1601059.2</v>
      </c>
      <c r="I108" s="59" t="s">
        <v>2</v>
      </c>
    </row>
    <row r="109" spans="1:9" x14ac:dyDescent="0.2">
      <c r="A109">
        <v>920</v>
      </c>
      <c r="B109">
        <v>1325100</v>
      </c>
      <c r="C109">
        <v>0</v>
      </c>
      <c r="D109" s="1">
        <v>186531</v>
      </c>
      <c r="E109" s="1">
        <v>103469</v>
      </c>
      <c r="F109">
        <v>0</v>
      </c>
      <c r="G109" s="1">
        <v>290000</v>
      </c>
      <c r="H109" s="1">
        <v>422008</v>
      </c>
      <c r="I109" s="59" t="s">
        <v>2</v>
      </c>
    </row>
    <row r="110" spans="1:9" x14ac:dyDescent="0.2">
      <c r="A110">
        <v>220</v>
      </c>
      <c r="B110">
        <v>1325110</v>
      </c>
      <c r="C110">
        <v>0</v>
      </c>
      <c r="D110" s="1">
        <v>7592.5</v>
      </c>
      <c r="E110">
        <v>0</v>
      </c>
      <c r="F110" s="1">
        <v>6592.5</v>
      </c>
      <c r="G110" s="1">
        <v>1000</v>
      </c>
      <c r="H110" s="1">
        <v>56288</v>
      </c>
      <c r="I110" s="59" t="s">
        <v>2</v>
      </c>
    </row>
    <row r="111" spans="1:9" x14ac:dyDescent="0.2">
      <c r="A111">
        <v>930</v>
      </c>
      <c r="B111">
        <v>1341010</v>
      </c>
      <c r="C111">
        <v>0</v>
      </c>
      <c r="D111" s="1">
        <v>6270483</v>
      </c>
      <c r="E111">
        <v>0</v>
      </c>
      <c r="F111" s="1">
        <v>2370483</v>
      </c>
      <c r="G111" s="1">
        <v>3900000</v>
      </c>
      <c r="H111" s="1">
        <v>3910931</v>
      </c>
      <c r="I111" s="59" t="s">
        <v>2</v>
      </c>
    </row>
    <row r="112" spans="1:9" x14ac:dyDescent="0.2">
      <c r="A112">
        <v>930</v>
      </c>
      <c r="B112">
        <v>1341020</v>
      </c>
      <c r="C112">
        <v>0</v>
      </c>
      <c r="D112" s="1">
        <v>109545</v>
      </c>
      <c r="E112">
        <v>0</v>
      </c>
      <c r="F112" s="1">
        <v>3545</v>
      </c>
      <c r="G112" s="1">
        <v>106000</v>
      </c>
      <c r="H112" s="1">
        <v>108177</v>
      </c>
      <c r="I112" s="59" t="s">
        <v>2</v>
      </c>
    </row>
    <row r="113" spans="1:9" x14ac:dyDescent="0.2">
      <c r="A113">
        <v>930</v>
      </c>
      <c r="B113">
        <v>1341040</v>
      </c>
      <c r="C113">
        <v>0</v>
      </c>
      <c r="D113">
        <v>0</v>
      </c>
      <c r="E113" s="1">
        <v>2000</v>
      </c>
      <c r="F113">
        <v>0</v>
      </c>
      <c r="G113" s="1">
        <v>2000</v>
      </c>
      <c r="H113" s="1">
        <v>1808</v>
      </c>
      <c r="I113" s="59" t="s">
        <v>2</v>
      </c>
    </row>
    <row r="114" spans="1:9" x14ac:dyDescent="0.2">
      <c r="A114">
        <v>930</v>
      </c>
      <c r="B114">
        <v>1341100</v>
      </c>
      <c r="C114">
        <v>0</v>
      </c>
      <c r="D114" s="1">
        <v>3025</v>
      </c>
      <c r="E114" s="1">
        <v>3975</v>
      </c>
      <c r="F114">
        <v>0</v>
      </c>
      <c r="G114" s="1">
        <v>7000</v>
      </c>
      <c r="H114" s="1">
        <v>7304</v>
      </c>
      <c r="I114" s="59" t="s">
        <v>2</v>
      </c>
    </row>
    <row r="115" spans="1:9" x14ac:dyDescent="0.2">
      <c r="A115">
        <v>930</v>
      </c>
      <c r="B115">
        <v>1341200</v>
      </c>
      <c r="C115">
        <v>0</v>
      </c>
      <c r="D115" s="1">
        <v>345391</v>
      </c>
      <c r="E115">
        <v>0</v>
      </c>
      <c r="F115" s="1">
        <v>45391</v>
      </c>
      <c r="G115" s="1">
        <v>300000</v>
      </c>
      <c r="H115" s="1">
        <v>262798</v>
      </c>
      <c r="I115" s="59" t="s">
        <v>2</v>
      </c>
    </row>
    <row r="116" spans="1:9" x14ac:dyDescent="0.2">
      <c r="A116">
        <v>930</v>
      </c>
      <c r="B116">
        <v>1341300</v>
      </c>
      <c r="C116">
        <v>0</v>
      </c>
      <c r="D116" s="1">
        <v>1500</v>
      </c>
      <c r="E116" s="1">
        <v>1500</v>
      </c>
      <c r="F116">
        <v>0</v>
      </c>
      <c r="G116" s="1">
        <v>3000</v>
      </c>
      <c r="H116" s="1">
        <v>2616</v>
      </c>
      <c r="I116" s="59" t="s">
        <v>2</v>
      </c>
    </row>
    <row r="117" spans="1:9" x14ac:dyDescent="0.2">
      <c r="A117">
        <v>930</v>
      </c>
      <c r="B117">
        <v>1342200</v>
      </c>
      <c r="C117">
        <v>0</v>
      </c>
      <c r="D117">
        <v>0</v>
      </c>
      <c r="E117" s="1">
        <v>4000</v>
      </c>
      <c r="F117">
        <v>0</v>
      </c>
      <c r="G117" s="1">
        <v>4000</v>
      </c>
      <c r="H117" s="1">
        <v>4196</v>
      </c>
      <c r="I117" s="59" t="s">
        <v>2</v>
      </c>
    </row>
    <row r="118" spans="1:9" x14ac:dyDescent="0.2">
      <c r="A118">
        <v>930</v>
      </c>
      <c r="B118">
        <v>1342210</v>
      </c>
      <c r="C118">
        <v>0</v>
      </c>
      <c r="D118" s="1">
        <v>388186</v>
      </c>
      <c r="E118">
        <v>0</v>
      </c>
      <c r="F118" s="1">
        <v>288186</v>
      </c>
      <c r="G118" s="1">
        <v>100000</v>
      </c>
      <c r="H118" s="1">
        <v>16944</v>
      </c>
      <c r="I118" s="59" t="s">
        <v>2</v>
      </c>
    </row>
    <row r="119" spans="1:9" x14ac:dyDescent="0.2">
      <c r="A119">
        <v>930</v>
      </c>
      <c r="B119">
        <v>1342220</v>
      </c>
      <c r="C119">
        <v>0</v>
      </c>
      <c r="D119" s="1">
        <v>88906</v>
      </c>
      <c r="E119">
        <v>0</v>
      </c>
      <c r="F119" s="1">
        <v>22906</v>
      </c>
      <c r="G119" s="1">
        <v>66000</v>
      </c>
      <c r="H119" s="1">
        <v>88090</v>
      </c>
      <c r="I119" s="59" t="s">
        <v>2</v>
      </c>
    </row>
    <row r="120" spans="1:9" x14ac:dyDescent="0.2">
      <c r="A120">
        <v>930</v>
      </c>
      <c r="B120">
        <v>1342230</v>
      </c>
      <c r="C120">
        <v>0</v>
      </c>
      <c r="D120">
        <v>0</v>
      </c>
      <c r="E120" s="1">
        <v>50000</v>
      </c>
      <c r="F120">
        <v>0</v>
      </c>
      <c r="G120" s="1">
        <v>50000</v>
      </c>
      <c r="H120" s="1">
        <v>52855</v>
      </c>
      <c r="I120" s="59" t="s">
        <v>2</v>
      </c>
    </row>
    <row r="121" spans="1:9" x14ac:dyDescent="0.2">
      <c r="A121">
        <v>930</v>
      </c>
      <c r="B121">
        <v>1342240</v>
      </c>
      <c r="C121">
        <v>0</v>
      </c>
      <c r="D121" s="1">
        <v>69425</v>
      </c>
      <c r="E121">
        <v>0</v>
      </c>
      <c r="F121" s="1">
        <v>39425</v>
      </c>
      <c r="G121" s="1">
        <v>30000</v>
      </c>
      <c r="H121" s="1">
        <v>43948</v>
      </c>
      <c r="I121" s="59" t="s">
        <v>2</v>
      </c>
    </row>
    <row r="122" spans="1:9" x14ac:dyDescent="0.2">
      <c r="A122">
        <v>930</v>
      </c>
      <c r="B122">
        <v>1342250</v>
      </c>
      <c r="C122">
        <v>0</v>
      </c>
      <c r="D122">
        <v>0</v>
      </c>
      <c r="E122" s="1">
        <v>8000</v>
      </c>
      <c r="F122">
        <v>0</v>
      </c>
      <c r="G122" s="1">
        <v>8000</v>
      </c>
      <c r="H122" s="1">
        <v>11594</v>
      </c>
      <c r="I122" s="59" t="s">
        <v>2</v>
      </c>
    </row>
    <row r="123" spans="1:9" x14ac:dyDescent="0.2">
      <c r="A123">
        <v>930</v>
      </c>
      <c r="B123">
        <v>1342290</v>
      </c>
      <c r="C123">
        <v>0</v>
      </c>
      <c r="D123" s="1">
        <v>21555.200000000001</v>
      </c>
      <c r="E123">
        <v>0</v>
      </c>
      <c r="F123" s="1">
        <v>1555.2</v>
      </c>
      <c r="G123" s="1">
        <v>20000</v>
      </c>
      <c r="H123" s="1">
        <v>71879.95</v>
      </c>
      <c r="I123" s="59" t="s">
        <v>2</v>
      </c>
    </row>
    <row r="124" spans="1:9" x14ac:dyDescent="0.2">
      <c r="A124">
        <v>930</v>
      </c>
      <c r="B124">
        <v>1342410</v>
      </c>
      <c r="C124">
        <v>0</v>
      </c>
      <c r="D124" s="1">
        <v>169336</v>
      </c>
      <c r="E124">
        <v>0</v>
      </c>
      <c r="F124" s="1">
        <v>29336</v>
      </c>
      <c r="G124" s="1">
        <v>140000</v>
      </c>
      <c r="H124" s="1">
        <v>169746</v>
      </c>
      <c r="I124" s="59" t="s">
        <v>2</v>
      </c>
    </row>
    <row r="125" spans="1:9" x14ac:dyDescent="0.2">
      <c r="A125">
        <v>930</v>
      </c>
      <c r="B125">
        <v>1342411</v>
      </c>
      <c r="C125">
        <v>0</v>
      </c>
      <c r="D125">
        <v>0</v>
      </c>
      <c r="E125" s="1">
        <v>3000</v>
      </c>
      <c r="F125">
        <v>0</v>
      </c>
      <c r="G125" s="1">
        <v>3000</v>
      </c>
      <c r="H125">
        <v>0</v>
      </c>
      <c r="I125" s="59" t="s">
        <v>2</v>
      </c>
    </row>
    <row r="126" spans="1:9" x14ac:dyDescent="0.2">
      <c r="A126">
        <v>930</v>
      </c>
      <c r="B126">
        <v>1342420</v>
      </c>
      <c r="C126">
        <v>0</v>
      </c>
      <c r="D126" s="1">
        <v>71096</v>
      </c>
      <c r="E126">
        <v>0</v>
      </c>
      <c r="F126" s="1">
        <v>41096</v>
      </c>
      <c r="G126" s="1">
        <v>30000</v>
      </c>
      <c r="H126" s="1">
        <v>29700</v>
      </c>
      <c r="I126" s="59" t="s">
        <v>2</v>
      </c>
    </row>
    <row r="127" spans="1:9" x14ac:dyDescent="0.2">
      <c r="A127">
        <v>930</v>
      </c>
      <c r="B127">
        <v>1342430</v>
      </c>
      <c r="C127">
        <v>0</v>
      </c>
      <c r="D127" s="1">
        <v>455721</v>
      </c>
      <c r="E127">
        <v>0</v>
      </c>
      <c r="F127" s="1">
        <v>43721</v>
      </c>
      <c r="G127" s="1">
        <v>412000</v>
      </c>
      <c r="H127" s="1">
        <v>412237</v>
      </c>
      <c r="I127" s="59" t="s">
        <v>2</v>
      </c>
    </row>
    <row r="128" spans="1:9" x14ac:dyDescent="0.2">
      <c r="A128">
        <v>930</v>
      </c>
      <c r="B128">
        <v>1342431</v>
      </c>
      <c r="C128">
        <v>0</v>
      </c>
      <c r="D128" s="1">
        <v>48251</v>
      </c>
      <c r="E128">
        <v>0</v>
      </c>
      <c r="F128" s="1">
        <v>28251</v>
      </c>
      <c r="G128" s="1">
        <v>20000</v>
      </c>
      <c r="H128" s="1">
        <v>19619</v>
      </c>
      <c r="I128" s="59" t="s">
        <v>2</v>
      </c>
    </row>
    <row r="129" spans="1:9" x14ac:dyDescent="0.2">
      <c r="A129">
        <v>930</v>
      </c>
      <c r="B129">
        <v>1342433</v>
      </c>
      <c r="C129">
        <v>0</v>
      </c>
      <c r="D129" s="1">
        <v>100687</v>
      </c>
      <c r="E129">
        <v>0</v>
      </c>
      <c r="F129" s="1">
        <v>12687</v>
      </c>
      <c r="G129" s="1">
        <v>88000</v>
      </c>
      <c r="H129" s="1">
        <v>103284</v>
      </c>
      <c r="I129" s="59" t="s">
        <v>2</v>
      </c>
    </row>
    <row r="130" spans="1:9" x14ac:dyDescent="0.2">
      <c r="A130">
        <v>930</v>
      </c>
      <c r="B130">
        <v>1342437</v>
      </c>
      <c r="C130">
        <v>0</v>
      </c>
      <c r="D130" s="1">
        <v>3935</v>
      </c>
      <c r="E130">
        <v>0</v>
      </c>
      <c r="F130" s="1">
        <v>3935</v>
      </c>
      <c r="G130">
        <v>0</v>
      </c>
      <c r="H130">
        <v>0</v>
      </c>
      <c r="I130" s="59" t="s">
        <v>2</v>
      </c>
    </row>
    <row r="131" spans="1:9" x14ac:dyDescent="0.2">
      <c r="A131">
        <v>930</v>
      </c>
      <c r="B131">
        <v>1342441</v>
      </c>
      <c r="C131">
        <v>0</v>
      </c>
      <c r="D131" s="1">
        <v>188835</v>
      </c>
      <c r="E131" s="1">
        <v>1165</v>
      </c>
      <c r="F131">
        <v>0</v>
      </c>
      <c r="G131" s="1">
        <v>190000</v>
      </c>
      <c r="H131" s="1">
        <v>191648</v>
      </c>
      <c r="I131" s="59" t="s">
        <v>2</v>
      </c>
    </row>
    <row r="132" spans="1:9" x14ac:dyDescent="0.2">
      <c r="A132">
        <v>930</v>
      </c>
      <c r="B132">
        <v>1342450</v>
      </c>
      <c r="C132">
        <v>0</v>
      </c>
      <c r="D132">
        <v>0</v>
      </c>
      <c r="E132" s="1">
        <v>19000</v>
      </c>
      <c r="F132">
        <v>0</v>
      </c>
      <c r="G132" s="1">
        <v>19000</v>
      </c>
      <c r="H132" s="1">
        <v>18714</v>
      </c>
      <c r="I132" s="59" t="s">
        <v>2</v>
      </c>
    </row>
    <row r="133" spans="1:9" x14ac:dyDescent="0.2">
      <c r="A133">
        <v>420</v>
      </c>
      <c r="B133">
        <v>1342500</v>
      </c>
      <c r="C133">
        <v>0</v>
      </c>
      <c r="D133" s="1">
        <v>385913.55</v>
      </c>
      <c r="E133">
        <v>0</v>
      </c>
      <c r="F133" s="1">
        <v>111913.55</v>
      </c>
      <c r="G133" s="1">
        <v>274000</v>
      </c>
      <c r="H133" s="1">
        <v>286763.05</v>
      </c>
      <c r="I133" s="59" t="s">
        <v>2</v>
      </c>
    </row>
    <row r="134" spans="1:9" x14ac:dyDescent="0.2">
      <c r="A134">
        <v>420</v>
      </c>
      <c r="B134">
        <v>1342510</v>
      </c>
      <c r="C134">
        <v>0</v>
      </c>
      <c r="D134" s="1">
        <v>656719.9</v>
      </c>
      <c r="E134" s="1">
        <v>45280.1</v>
      </c>
      <c r="F134">
        <v>0</v>
      </c>
      <c r="G134" s="1">
        <v>702000</v>
      </c>
      <c r="H134" s="1">
        <v>659402.4</v>
      </c>
      <c r="I134" s="59" t="s">
        <v>2</v>
      </c>
    </row>
    <row r="135" spans="1:9" x14ac:dyDescent="0.2">
      <c r="A135">
        <v>420</v>
      </c>
      <c r="B135">
        <v>1342520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0.5</v>
      </c>
      <c r="I135" s="59" t="s">
        <v>2</v>
      </c>
    </row>
    <row r="136" spans="1:9" x14ac:dyDescent="0.2">
      <c r="A136">
        <v>420</v>
      </c>
      <c r="B136">
        <v>1342521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340</v>
      </c>
      <c r="I136" s="59" t="s">
        <v>2</v>
      </c>
    </row>
    <row r="137" spans="1:9" x14ac:dyDescent="0.2">
      <c r="A137">
        <v>930</v>
      </c>
      <c r="B137">
        <v>1343500</v>
      </c>
      <c r="C137">
        <v>0</v>
      </c>
      <c r="D137">
        <v>0</v>
      </c>
      <c r="E137" s="1">
        <v>2000</v>
      </c>
      <c r="F137">
        <v>0</v>
      </c>
      <c r="G137" s="1">
        <v>2000</v>
      </c>
      <c r="H137" s="1">
        <v>2183</v>
      </c>
      <c r="I137" s="59" t="s">
        <v>2</v>
      </c>
    </row>
    <row r="138" spans="1:9" x14ac:dyDescent="0.2">
      <c r="A138">
        <v>930</v>
      </c>
      <c r="B138">
        <v>1343510</v>
      </c>
      <c r="C138">
        <v>0</v>
      </c>
      <c r="D138" s="1">
        <v>238674</v>
      </c>
      <c r="E138">
        <v>0</v>
      </c>
      <c r="F138" s="1">
        <v>71674</v>
      </c>
      <c r="G138" s="1">
        <v>167000</v>
      </c>
      <c r="H138" s="1">
        <v>166696</v>
      </c>
      <c r="I138" s="59" t="s">
        <v>2</v>
      </c>
    </row>
    <row r="139" spans="1:9" x14ac:dyDescent="0.2">
      <c r="A139">
        <v>930</v>
      </c>
      <c r="B139">
        <v>1343520</v>
      </c>
      <c r="C139">
        <v>0</v>
      </c>
      <c r="D139" s="1">
        <v>69604</v>
      </c>
      <c r="E139">
        <v>0</v>
      </c>
      <c r="F139" s="1">
        <v>9604</v>
      </c>
      <c r="G139" s="1">
        <v>60000</v>
      </c>
      <c r="H139" s="1">
        <v>59057</v>
      </c>
      <c r="I139" s="59" t="s">
        <v>2</v>
      </c>
    </row>
    <row r="140" spans="1:9" x14ac:dyDescent="0.2">
      <c r="A140">
        <v>930</v>
      </c>
      <c r="B140">
        <v>1343521</v>
      </c>
      <c r="C140">
        <v>0</v>
      </c>
      <c r="D140" s="1">
        <v>102709</v>
      </c>
      <c r="E140">
        <v>0</v>
      </c>
      <c r="F140" s="1">
        <v>7709</v>
      </c>
      <c r="G140" s="1">
        <v>95000</v>
      </c>
      <c r="H140" s="1">
        <v>94875</v>
      </c>
      <c r="I140" s="59" t="s">
        <v>2</v>
      </c>
    </row>
    <row r="141" spans="1:9" x14ac:dyDescent="0.2">
      <c r="A141">
        <v>930</v>
      </c>
      <c r="B141">
        <v>1343530</v>
      </c>
      <c r="C141">
        <v>0</v>
      </c>
      <c r="D141" s="1">
        <v>664347</v>
      </c>
      <c r="E141">
        <v>0</v>
      </c>
      <c r="F141" s="1">
        <v>186347</v>
      </c>
      <c r="G141" s="1">
        <v>478000</v>
      </c>
      <c r="H141" s="1">
        <v>478009</v>
      </c>
      <c r="I141" s="59" t="s">
        <v>2</v>
      </c>
    </row>
    <row r="142" spans="1:9" x14ac:dyDescent="0.2">
      <c r="A142">
        <v>930</v>
      </c>
      <c r="B142">
        <v>1343540</v>
      </c>
      <c r="C142">
        <v>0</v>
      </c>
      <c r="D142" s="1">
        <v>235050</v>
      </c>
      <c r="E142">
        <v>0</v>
      </c>
      <c r="F142" s="1">
        <v>95050</v>
      </c>
      <c r="G142" s="1">
        <v>140000</v>
      </c>
      <c r="H142" s="1">
        <v>138808</v>
      </c>
      <c r="I142" s="59" t="s">
        <v>2</v>
      </c>
    </row>
    <row r="143" spans="1:9" x14ac:dyDescent="0.2">
      <c r="A143">
        <v>930</v>
      </c>
      <c r="B143">
        <v>1343550</v>
      </c>
      <c r="C143">
        <v>0</v>
      </c>
      <c r="D143" s="1">
        <v>162527</v>
      </c>
      <c r="E143">
        <v>0</v>
      </c>
      <c r="F143" s="1">
        <v>78527</v>
      </c>
      <c r="G143" s="1">
        <v>84000</v>
      </c>
      <c r="H143" s="1">
        <v>151376</v>
      </c>
      <c r="I143" s="59" t="s">
        <v>2</v>
      </c>
    </row>
    <row r="144" spans="1:9" x14ac:dyDescent="0.2">
      <c r="A144">
        <v>930</v>
      </c>
      <c r="B144">
        <v>1343551</v>
      </c>
      <c r="C144">
        <v>0</v>
      </c>
      <c r="D144" s="1">
        <v>307628</v>
      </c>
      <c r="E144">
        <v>0</v>
      </c>
      <c r="F144" s="1">
        <v>142628</v>
      </c>
      <c r="G144" s="1">
        <v>165000</v>
      </c>
      <c r="H144" s="1">
        <v>165080</v>
      </c>
      <c r="I144" s="59" t="s">
        <v>2</v>
      </c>
    </row>
    <row r="145" spans="1:9" x14ac:dyDescent="0.2">
      <c r="A145">
        <v>930</v>
      </c>
      <c r="B145">
        <v>1343810</v>
      </c>
      <c r="C145">
        <v>0</v>
      </c>
      <c r="D145" s="1">
        <v>2560162</v>
      </c>
      <c r="E145" s="1">
        <v>699838</v>
      </c>
      <c r="F145">
        <v>0</v>
      </c>
      <c r="G145" s="1">
        <v>3260000</v>
      </c>
      <c r="H145" s="1">
        <v>3257176</v>
      </c>
      <c r="I145" s="59" t="s">
        <v>2</v>
      </c>
    </row>
    <row r="146" spans="1:9" x14ac:dyDescent="0.2">
      <c r="A146">
        <v>930</v>
      </c>
      <c r="B146">
        <v>1343820</v>
      </c>
      <c r="C146">
        <v>0</v>
      </c>
      <c r="D146" s="1">
        <v>147843</v>
      </c>
      <c r="E146" s="1">
        <v>20157</v>
      </c>
      <c r="F146">
        <v>0</v>
      </c>
      <c r="G146" s="1">
        <v>168000</v>
      </c>
      <c r="H146" s="1">
        <v>167551</v>
      </c>
      <c r="I146" s="59" t="s">
        <v>2</v>
      </c>
    </row>
    <row r="147" spans="1:9" x14ac:dyDescent="0.2">
      <c r="A147">
        <v>930</v>
      </c>
      <c r="B147">
        <v>1343910</v>
      </c>
      <c r="C147">
        <v>0</v>
      </c>
      <c r="D147" s="1">
        <v>623765</v>
      </c>
      <c r="E147">
        <v>0</v>
      </c>
      <c r="F147" s="1">
        <v>137765</v>
      </c>
      <c r="G147" s="1">
        <v>486000</v>
      </c>
      <c r="H147" s="1">
        <v>760399</v>
      </c>
      <c r="I147" s="59" t="s">
        <v>2</v>
      </c>
    </row>
    <row r="148" spans="1:9" x14ac:dyDescent="0.2">
      <c r="A148">
        <v>930</v>
      </c>
      <c r="B148">
        <v>1344310</v>
      </c>
      <c r="C148">
        <v>0</v>
      </c>
      <c r="D148" s="1">
        <v>3378609</v>
      </c>
      <c r="E148">
        <v>0</v>
      </c>
      <c r="F148" s="1">
        <v>78609</v>
      </c>
      <c r="G148" s="1">
        <v>3300000</v>
      </c>
      <c r="H148" s="1">
        <v>3274341</v>
      </c>
      <c r="I148" s="59" t="s">
        <v>2</v>
      </c>
    </row>
    <row r="149" spans="1:9" x14ac:dyDescent="0.2">
      <c r="A149">
        <v>690</v>
      </c>
      <c r="B149">
        <v>1344400</v>
      </c>
      <c r="C149">
        <v>0</v>
      </c>
      <c r="D149">
        <v>0</v>
      </c>
      <c r="E149">
        <v>0</v>
      </c>
      <c r="F149">
        <v>0</v>
      </c>
      <c r="G149">
        <v>0</v>
      </c>
      <c r="H149" s="1">
        <v>165126</v>
      </c>
      <c r="I149" s="59" t="s">
        <v>2</v>
      </c>
    </row>
    <row r="150" spans="1:9" x14ac:dyDescent="0.2">
      <c r="A150">
        <v>930</v>
      </c>
      <c r="B150">
        <v>1344400</v>
      </c>
      <c r="C150">
        <v>0</v>
      </c>
      <c r="D150">
        <v>0</v>
      </c>
      <c r="E150" s="1">
        <v>30000</v>
      </c>
      <c r="F150">
        <v>0</v>
      </c>
      <c r="G150" s="1">
        <v>30000</v>
      </c>
      <c r="H150" s="1">
        <v>31425</v>
      </c>
      <c r="I150" s="59" t="s">
        <v>2</v>
      </c>
    </row>
    <row r="151" spans="1:9" x14ac:dyDescent="0.2">
      <c r="A151">
        <v>930</v>
      </c>
      <c r="B151">
        <v>1344420</v>
      </c>
      <c r="C151">
        <v>0</v>
      </c>
      <c r="D151" s="1">
        <v>8400</v>
      </c>
      <c r="E151" s="1">
        <v>79600</v>
      </c>
      <c r="F151">
        <v>0</v>
      </c>
      <c r="G151" s="1">
        <v>88000</v>
      </c>
      <c r="H151" s="1">
        <v>88285</v>
      </c>
      <c r="I151" s="59" t="s">
        <v>2</v>
      </c>
    </row>
    <row r="152" spans="1:9" x14ac:dyDescent="0.2">
      <c r="A152">
        <v>930</v>
      </c>
      <c r="B152">
        <v>1344425</v>
      </c>
      <c r="C152">
        <v>0</v>
      </c>
      <c r="D152">
        <v>0</v>
      </c>
      <c r="E152" s="1">
        <v>20000</v>
      </c>
      <c r="F152">
        <v>0</v>
      </c>
      <c r="G152" s="1">
        <v>20000</v>
      </c>
      <c r="H152">
        <v>0</v>
      </c>
      <c r="I152" s="59" t="s">
        <v>2</v>
      </c>
    </row>
    <row r="153" spans="1:9" x14ac:dyDescent="0.2">
      <c r="A153">
        <v>930</v>
      </c>
      <c r="B153">
        <v>1344440</v>
      </c>
      <c r="C153">
        <v>0</v>
      </c>
      <c r="D153" s="1">
        <v>100265</v>
      </c>
      <c r="E153">
        <v>0</v>
      </c>
      <c r="F153" s="1">
        <v>38265</v>
      </c>
      <c r="G153" s="1">
        <v>62000</v>
      </c>
      <c r="H153" s="1">
        <v>159630</v>
      </c>
      <c r="I153" s="59" t="s">
        <v>2</v>
      </c>
    </row>
    <row r="154" spans="1:9" x14ac:dyDescent="0.2">
      <c r="A154">
        <v>930</v>
      </c>
      <c r="B154">
        <v>1344442</v>
      </c>
      <c r="C154">
        <v>0</v>
      </c>
      <c r="D154">
        <v>0</v>
      </c>
      <c r="E154" s="1">
        <v>20000</v>
      </c>
      <c r="F154">
        <v>0</v>
      </c>
      <c r="G154" s="1">
        <v>20000</v>
      </c>
      <c r="H154" s="1">
        <v>18794</v>
      </c>
      <c r="I154" s="59" t="s">
        <v>2</v>
      </c>
    </row>
    <row r="155" spans="1:9" x14ac:dyDescent="0.2">
      <c r="A155">
        <v>930</v>
      </c>
      <c r="B155">
        <v>1344450</v>
      </c>
      <c r="C155">
        <v>0</v>
      </c>
      <c r="D155" s="1">
        <v>61136</v>
      </c>
      <c r="E155">
        <v>0</v>
      </c>
      <c r="F155" s="1">
        <v>11136</v>
      </c>
      <c r="G155" s="1">
        <v>50000</v>
      </c>
      <c r="H155" s="1">
        <v>56947</v>
      </c>
      <c r="I155" s="59" t="s">
        <v>2</v>
      </c>
    </row>
    <row r="156" spans="1:9" x14ac:dyDescent="0.2">
      <c r="A156">
        <v>930</v>
      </c>
      <c r="B156">
        <v>1344460</v>
      </c>
      <c r="C156">
        <v>0</v>
      </c>
      <c r="D156">
        <v>0</v>
      </c>
      <c r="E156" s="1">
        <v>94000</v>
      </c>
      <c r="F156">
        <v>0</v>
      </c>
      <c r="G156" s="1">
        <v>94000</v>
      </c>
      <c r="H156" s="1">
        <v>93699</v>
      </c>
      <c r="I156" s="59" t="s">
        <v>2</v>
      </c>
    </row>
    <row r="157" spans="1:9" x14ac:dyDescent="0.2">
      <c r="A157">
        <v>930</v>
      </c>
      <c r="B157">
        <v>1344470</v>
      </c>
      <c r="C157">
        <v>0</v>
      </c>
      <c r="D157" s="1">
        <v>811213</v>
      </c>
      <c r="E157">
        <v>0</v>
      </c>
      <c r="F157" s="1">
        <v>461213</v>
      </c>
      <c r="G157" s="1">
        <v>350000</v>
      </c>
      <c r="H157" s="1">
        <v>906538</v>
      </c>
      <c r="I157" s="59" t="s">
        <v>2</v>
      </c>
    </row>
    <row r="158" spans="1:9" x14ac:dyDescent="0.2">
      <c r="A158">
        <v>930</v>
      </c>
      <c r="B158">
        <v>1344480</v>
      </c>
      <c r="C158">
        <v>0</v>
      </c>
      <c r="D158" s="1">
        <v>12146</v>
      </c>
      <c r="E158" s="1">
        <v>48854</v>
      </c>
      <c r="F158">
        <v>0</v>
      </c>
      <c r="G158" s="1">
        <v>61000</v>
      </c>
      <c r="H158" s="1">
        <v>60635</v>
      </c>
      <c r="I158" s="59" t="s">
        <v>2</v>
      </c>
    </row>
    <row r="159" spans="1:9" x14ac:dyDescent="0.2">
      <c r="A159">
        <v>930</v>
      </c>
      <c r="B159">
        <v>1344481</v>
      </c>
      <c r="C159">
        <v>0</v>
      </c>
      <c r="D159">
        <v>447</v>
      </c>
      <c r="E159" s="1">
        <v>61553</v>
      </c>
      <c r="F159">
        <v>0</v>
      </c>
      <c r="G159" s="1">
        <v>62000</v>
      </c>
      <c r="H159" s="1">
        <v>62071</v>
      </c>
      <c r="I159" s="59" t="s">
        <v>2</v>
      </c>
    </row>
    <row r="160" spans="1:9" x14ac:dyDescent="0.2">
      <c r="A160">
        <v>930</v>
      </c>
      <c r="B160">
        <v>1344492</v>
      </c>
      <c r="C160">
        <v>0</v>
      </c>
      <c r="D160" s="1">
        <v>50195</v>
      </c>
      <c r="E160" s="1">
        <v>14805</v>
      </c>
      <c r="F160">
        <v>0</v>
      </c>
      <c r="G160" s="1">
        <v>65000</v>
      </c>
      <c r="H160" s="1">
        <v>64965</v>
      </c>
      <c r="I160" s="59" t="s">
        <v>2</v>
      </c>
    </row>
    <row r="161" spans="1:9" x14ac:dyDescent="0.2">
      <c r="A161">
        <v>930</v>
      </c>
      <c r="B161">
        <v>1344493</v>
      </c>
      <c r="C161">
        <v>0</v>
      </c>
      <c r="D161" s="1">
        <v>29094</v>
      </c>
      <c r="E161">
        <v>0</v>
      </c>
      <c r="F161" s="1">
        <v>29094</v>
      </c>
      <c r="G161">
        <v>0</v>
      </c>
      <c r="H161">
        <v>0</v>
      </c>
      <c r="I161" s="59" t="s">
        <v>2</v>
      </c>
    </row>
    <row r="162" spans="1:9" x14ac:dyDescent="0.2">
      <c r="A162">
        <v>930</v>
      </c>
      <c r="B162">
        <v>1344510</v>
      </c>
      <c r="C162">
        <v>0</v>
      </c>
      <c r="D162" s="1">
        <v>424779</v>
      </c>
      <c r="E162" s="1">
        <v>139221</v>
      </c>
      <c r="F162">
        <v>0</v>
      </c>
      <c r="G162" s="1">
        <v>564000</v>
      </c>
      <c r="H162" s="1">
        <v>563587</v>
      </c>
      <c r="I162" s="59" t="s">
        <v>2</v>
      </c>
    </row>
    <row r="163" spans="1:9" x14ac:dyDescent="0.2">
      <c r="A163">
        <v>930</v>
      </c>
      <c r="B163">
        <v>1344511</v>
      </c>
      <c r="C163">
        <v>0</v>
      </c>
      <c r="D163" s="1">
        <v>380332</v>
      </c>
      <c r="E163">
        <v>0</v>
      </c>
      <c r="F163" s="1">
        <v>95332</v>
      </c>
      <c r="G163" s="1">
        <v>285000</v>
      </c>
      <c r="H163" s="1">
        <v>284592</v>
      </c>
      <c r="I163" s="59" t="s">
        <v>2</v>
      </c>
    </row>
    <row r="164" spans="1:9" x14ac:dyDescent="0.2">
      <c r="A164">
        <v>420</v>
      </c>
      <c r="B164">
        <v>1345100</v>
      </c>
      <c r="C164">
        <v>0</v>
      </c>
      <c r="D164" s="1">
        <v>6283</v>
      </c>
      <c r="E164">
        <v>0</v>
      </c>
      <c r="F164" s="1">
        <v>1283</v>
      </c>
      <c r="G164" s="1">
        <v>5000</v>
      </c>
      <c r="H164" s="1">
        <v>21891</v>
      </c>
      <c r="I164" s="59" t="s">
        <v>2</v>
      </c>
    </row>
    <row r="165" spans="1:9" x14ac:dyDescent="0.2">
      <c r="A165">
        <v>930</v>
      </c>
      <c r="B165">
        <v>1345100</v>
      </c>
      <c r="C165">
        <v>0</v>
      </c>
      <c r="D165" s="1">
        <v>1930</v>
      </c>
      <c r="E165">
        <v>70</v>
      </c>
      <c r="F165">
        <v>0</v>
      </c>
      <c r="G165" s="1">
        <v>2000</v>
      </c>
      <c r="H165" s="1">
        <v>1635</v>
      </c>
      <c r="I165" s="59" t="s">
        <v>2</v>
      </c>
    </row>
    <row r="166" spans="1:9" x14ac:dyDescent="0.2">
      <c r="A166">
        <v>930</v>
      </c>
      <c r="B166">
        <v>1345110</v>
      </c>
      <c r="C166">
        <v>0</v>
      </c>
      <c r="D166" s="1">
        <v>1106517</v>
      </c>
      <c r="E166">
        <v>0</v>
      </c>
      <c r="F166" s="1">
        <v>306517</v>
      </c>
      <c r="G166" s="1">
        <v>800000</v>
      </c>
      <c r="H166" s="1">
        <v>65178</v>
      </c>
      <c r="I166" s="59" t="s">
        <v>2</v>
      </c>
    </row>
    <row r="167" spans="1:9" x14ac:dyDescent="0.2">
      <c r="A167">
        <v>930</v>
      </c>
      <c r="B167">
        <v>1345111</v>
      </c>
      <c r="C167">
        <v>0</v>
      </c>
      <c r="D167" s="1">
        <v>114129</v>
      </c>
      <c r="E167">
        <v>0</v>
      </c>
      <c r="F167" s="1">
        <v>30129</v>
      </c>
      <c r="G167" s="1">
        <v>84000</v>
      </c>
      <c r="H167" s="1">
        <v>102449</v>
      </c>
      <c r="I167" s="59" t="s">
        <v>2</v>
      </c>
    </row>
    <row r="168" spans="1:9" x14ac:dyDescent="0.2">
      <c r="A168">
        <v>930</v>
      </c>
      <c r="B168">
        <v>1345112</v>
      </c>
      <c r="C168">
        <v>0</v>
      </c>
      <c r="D168" s="1">
        <v>90804</v>
      </c>
      <c r="E168">
        <v>0</v>
      </c>
      <c r="F168" s="1">
        <v>6804</v>
      </c>
      <c r="G168" s="1">
        <v>84000</v>
      </c>
      <c r="H168">
        <v>0</v>
      </c>
      <c r="I168" s="59" t="s">
        <v>2</v>
      </c>
    </row>
    <row r="169" spans="1:9" x14ac:dyDescent="0.2">
      <c r="A169">
        <v>930</v>
      </c>
      <c r="B169">
        <v>1345120</v>
      </c>
      <c r="C169">
        <v>0</v>
      </c>
      <c r="D169" s="1">
        <v>18701</v>
      </c>
      <c r="E169">
        <v>0</v>
      </c>
      <c r="F169" s="1">
        <v>8701</v>
      </c>
      <c r="G169" s="1">
        <v>10000</v>
      </c>
      <c r="H169" s="1">
        <v>14002</v>
      </c>
      <c r="I169" s="59" t="s">
        <v>2</v>
      </c>
    </row>
    <row r="170" spans="1:9" x14ac:dyDescent="0.2">
      <c r="A170">
        <v>930</v>
      </c>
      <c r="B170">
        <v>1345121</v>
      </c>
      <c r="C170">
        <v>0</v>
      </c>
      <c r="D170" s="1">
        <v>17501</v>
      </c>
      <c r="E170">
        <v>0</v>
      </c>
      <c r="F170" s="1">
        <v>7501</v>
      </c>
      <c r="G170" s="1">
        <v>10000</v>
      </c>
      <c r="H170" s="1">
        <v>21974</v>
      </c>
      <c r="I170" s="59" t="s">
        <v>2</v>
      </c>
    </row>
    <row r="171" spans="1:9" x14ac:dyDescent="0.2">
      <c r="A171">
        <v>930</v>
      </c>
      <c r="B171">
        <v>1345122</v>
      </c>
      <c r="C171">
        <v>0</v>
      </c>
      <c r="D171" s="1">
        <v>9090</v>
      </c>
      <c r="E171">
        <v>0</v>
      </c>
      <c r="F171" s="1">
        <v>9090</v>
      </c>
      <c r="G171">
        <v>0</v>
      </c>
      <c r="H171">
        <v>0</v>
      </c>
      <c r="I171" s="59" t="s">
        <v>2</v>
      </c>
    </row>
    <row r="172" spans="1:9" x14ac:dyDescent="0.2">
      <c r="A172">
        <v>930</v>
      </c>
      <c r="B172">
        <v>1345130</v>
      </c>
      <c r="C172">
        <v>0</v>
      </c>
      <c r="D172" s="1">
        <v>5703218</v>
      </c>
      <c r="E172">
        <v>0</v>
      </c>
      <c r="F172" s="1">
        <v>265218</v>
      </c>
      <c r="G172" s="1">
        <v>5438000</v>
      </c>
      <c r="H172" s="1">
        <v>5278799</v>
      </c>
      <c r="I172" s="59" t="s">
        <v>2</v>
      </c>
    </row>
    <row r="173" spans="1:9" x14ac:dyDescent="0.2">
      <c r="A173">
        <v>930</v>
      </c>
      <c r="B173">
        <v>1345150</v>
      </c>
      <c r="C173">
        <v>0</v>
      </c>
      <c r="D173" s="1">
        <v>3612432</v>
      </c>
      <c r="E173">
        <v>0</v>
      </c>
      <c r="F173" s="1">
        <v>812432</v>
      </c>
      <c r="G173" s="1">
        <v>2800000</v>
      </c>
      <c r="H173" s="1">
        <v>2782202</v>
      </c>
      <c r="I173" s="59" t="s">
        <v>2</v>
      </c>
    </row>
    <row r="174" spans="1:9" x14ac:dyDescent="0.2">
      <c r="A174">
        <v>930</v>
      </c>
      <c r="B174">
        <v>1345160</v>
      </c>
      <c r="C174">
        <v>0</v>
      </c>
      <c r="D174" s="1">
        <v>139839</v>
      </c>
      <c r="E174">
        <v>0</v>
      </c>
      <c r="F174" s="1">
        <v>5839</v>
      </c>
      <c r="G174" s="1">
        <v>134000</v>
      </c>
      <c r="H174" s="1">
        <v>186777</v>
      </c>
      <c r="I174" s="59" t="s">
        <v>2</v>
      </c>
    </row>
    <row r="175" spans="1:9" x14ac:dyDescent="0.2">
      <c r="A175">
        <v>930</v>
      </c>
      <c r="B175">
        <v>1345170</v>
      </c>
      <c r="C175">
        <v>0</v>
      </c>
      <c r="D175" s="1">
        <v>103173</v>
      </c>
      <c r="E175">
        <v>0</v>
      </c>
      <c r="F175" s="1">
        <v>23173</v>
      </c>
      <c r="G175" s="1">
        <v>80000</v>
      </c>
      <c r="H175" s="1">
        <v>100338</v>
      </c>
      <c r="I175" s="59" t="s">
        <v>2</v>
      </c>
    </row>
    <row r="176" spans="1:9" x14ac:dyDescent="0.2">
      <c r="A176">
        <v>930</v>
      </c>
      <c r="B176">
        <v>1345180</v>
      </c>
      <c r="C176">
        <v>0</v>
      </c>
      <c r="D176" s="1">
        <v>241171</v>
      </c>
      <c r="E176">
        <v>0</v>
      </c>
      <c r="F176" s="1">
        <v>11171</v>
      </c>
      <c r="G176" s="1">
        <v>230000</v>
      </c>
      <c r="H176" s="1">
        <v>237747</v>
      </c>
      <c r="I176" s="59" t="s">
        <v>2</v>
      </c>
    </row>
    <row r="177" spans="1:9" x14ac:dyDescent="0.2">
      <c r="A177">
        <v>930</v>
      </c>
      <c r="B177">
        <v>1345190</v>
      </c>
      <c r="C177">
        <v>0</v>
      </c>
      <c r="D177" s="1">
        <v>34086</v>
      </c>
      <c r="E177">
        <v>0</v>
      </c>
      <c r="F177" s="1">
        <v>11086</v>
      </c>
      <c r="G177" s="1">
        <v>23000</v>
      </c>
      <c r="H177" s="1">
        <v>23200</v>
      </c>
      <c r="I177" s="59" t="s">
        <v>2</v>
      </c>
    </row>
    <row r="178" spans="1:9" x14ac:dyDescent="0.2">
      <c r="A178">
        <v>420</v>
      </c>
      <c r="B178">
        <v>1345200</v>
      </c>
      <c r="C178">
        <v>0</v>
      </c>
      <c r="D178" s="1">
        <v>13215</v>
      </c>
      <c r="E178">
        <v>0</v>
      </c>
      <c r="F178" s="1">
        <v>8215</v>
      </c>
      <c r="G178" s="1">
        <v>5000</v>
      </c>
      <c r="H178" s="1">
        <v>4968</v>
      </c>
      <c r="I178" s="59" t="s">
        <v>2</v>
      </c>
    </row>
    <row r="179" spans="1:9" x14ac:dyDescent="0.2">
      <c r="A179">
        <v>930</v>
      </c>
      <c r="B179">
        <v>1345200</v>
      </c>
      <c r="C179">
        <v>0</v>
      </c>
      <c r="D179" s="1">
        <v>912843</v>
      </c>
      <c r="E179">
        <v>0</v>
      </c>
      <c r="F179" s="1">
        <v>2843</v>
      </c>
      <c r="G179" s="1">
        <v>910000</v>
      </c>
      <c r="H179" s="1">
        <v>904318</v>
      </c>
      <c r="I179" s="59" t="s">
        <v>2</v>
      </c>
    </row>
    <row r="180" spans="1:9" x14ac:dyDescent="0.2">
      <c r="A180">
        <v>930</v>
      </c>
      <c r="B180">
        <v>1345210</v>
      </c>
      <c r="C180">
        <v>0</v>
      </c>
      <c r="D180">
        <v>22</v>
      </c>
      <c r="E180" s="1">
        <v>4978</v>
      </c>
      <c r="F180">
        <v>0</v>
      </c>
      <c r="G180" s="1">
        <v>5000</v>
      </c>
      <c r="H180" s="1">
        <v>4560</v>
      </c>
      <c r="I180" s="59" t="s">
        <v>2</v>
      </c>
    </row>
    <row r="181" spans="1:9" x14ac:dyDescent="0.2">
      <c r="A181">
        <v>930</v>
      </c>
      <c r="B181">
        <v>1345220</v>
      </c>
      <c r="C181">
        <v>0</v>
      </c>
      <c r="D181" s="1">
        <v>760438</v>
      </c>
      <c r="E181">
        <v>0</v>
      </c>
      <c r="F181" s="1">
        <v>90438</v>
      </c>
      <c r="G181" s="1">
        <v>670000</v>
      </c>
      <c r="H181" s="1">
        <v>702179</v>
      </c>
      <c r="I181" s="59" t="s">
        <v>2</v>
      </c>
    </row>
    <row r="182" spans="1:9" x14ac:dyDescent="0.2">
      <c r="A182">
        <v>930</v>
      </c>
      <c r="B182">
        <v>1345230</v>
      </c>
      <c r="C182">
        <v>0</v>
      </c>
      <c r="D182" s="1">
        <v>262110</v>
      </c>
      <c r="E182">
        <v>0</v>
      </c>
      <c r="F182" s="1">
        <v>68110</v>
      </c>
      <c r="G182" s="1">
        <v>194000</v>
      </c>
      <c r="H182" s="1">
        <v>278007</v>
      </c>
      <c r="I182" s="59" t="s">
        <v>2</v>
      </c>
    </row>
    <row r="183" spans="1:9" x14ac:dyDescent="0.2">
      <c r="A183">
        <v>930</v>
      </c>
      <c r="B183">
        <v>1345310</v>
      </c>
      <c r="C183">
        <v>0</v>
      </c>
      <c r="D183">
        <v>0</v>
      </c>
      <c r="E183" s="1">
        <v>23000</v>
      </c>
      <c r="F183">
        <v>0</v>
      </c>
      <c r="G183" s="1">
        <v>23000</v>
      </c>
      <c r="H183" s="1">
        <v>22670</v>
      </c>
      <c r="I183" s="59" t="s">
        <v>2</v>
      </c>
    </row>
    <row r="184" spans="1:9" x14ac:dyDescent="0.2">
      <c r="A184">
        <v>930</v>
      </c>
      <c r="B184">
        <v>1345320</v>
      </c>
      <c r="C184">
        <v>0</v>
      </c>
      <c r="D184" s="1">
        <v>188569</v>
      </c>
      <c r="E184" s="1">
        <v>9431</v>
      </c>
      <c r="F184">
        <v>0</v>
      </c>
      <c r="G184" s="1">
        <v>198000</v>
      </c>
      <c r="H184" s="1">
        <v>198008</v>
      </c>
      <c r="I184" s="59" t="s">
        <v>2</v>
      </c>
    </row>
    <row r="185" spans="1:9" x14ac:dyDescent="0.2">
      <c r="A185">
        <v>930</v>
      </c>
      <c r="B185">
        <v>1345340</v>
      </c>
      <c r="C185">
        <v>0</v>
      </c>
      <c r="D185" s="1">
        <v>35164</v>
      </c>
      <c r="E185" s="1">
        <v>8836</v>
      </c>
      <c r="F185">
        <v>0</v>
      </c>
      <c r="G185" s="1">
        <v>44000</v>
      </c>
      <c r="H185" s="1">
        <v>29611</v>
      </c>
      <c r="I185" s="59" t="s">
        <v>2</v>
      </c>
    </row>
    <row r="186" spans="1:9" x14ac:dyDescent="0.2">
      <c r="A186">
        <v>930</v>
      </c>
      <c r="B186">
        <v>1345350</v>
      </c>
      <c r="C186">
        <v>0</v>
      </c>
      <c r="D186">
        <v>0</v>
      </c>
      <c r="E186" s="1">
        <v>189000</v>
      </c>
      <c r="F186">
        <v>0</v>
      </c>
      <c r="G186" s="1">
        <v>189000</v>
      </c>
      <c r="H186" s="1">
        <v>189385</v>
      </c>
      <c r="I186" s="59" t="s">
        <v>2</v>
      </c>
    </row>
    <row r="187" spans="1:9" x14ac:dyDescent="0.2">
      <c r="A187">
        <v>930</v>
      </c>
      <c r="B187">
        <v>1346300</v>
      </c>
      <c r="C187">
        <v>0</v>
      </c>
      <c r="D187" s="1">
        <v>117658</v>
      </c>
      <c r="E187">
        <v>0</v>
      </c>
      <c r="F187" s="1">
        <v>13658</v>
      </c>
      <c r="G187" s="1">
        <v>104000</v>
      </c>
      <c r="H187" s="1">
        <v>138567</v>
      </c>
      <c r="I187" s="59" t="s">
        <v>2</v>
      </c>
    </row>
    <row r="188" spans="1:9" x14ac:dyDescent="0.2">
      <c r="A188">
        <v>930</v>
      </c>
      <c r="B188">
        <v>1346310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214</v>
      </c>
      <c r="I188" s="59" t="s">
        <v>2</v>
      </c>
    </row>
    <row r="189" spans="1:9" x14ac:dyDescent="0.2">
      <c r="A189">
        <v>930</v>
      </c>
      <c r="B189">
        <v>1346500</v>
      </c>
      <c r="C189">
        <v>0</v>
      </c>
      <c r="D189" s="1">
        <v>4734796</v>
      </c>
      <c r="E189">
        <v>0</v>
      </c>
      <c r="F189" s="1">
        <v>594796</v>
      </c>
      <c r="G189" s="1">
        <v>4140000</v>
      </c>
      <c r="H189" s="1">
        <v>4140230</v>
      </c>
      <c r="I189" s="59" t="s">
        <v>2</v>
      </c>
    </row>
    <row r="190" spans="1:9" x14ac:dyDescent="0.2">
      <c r="A190">
        <v>930</v>
      </c>
      <c r="B190">
        <v>1346510</v>
      </c>
      <c r="C190">
        <v>0</v>
      </c>
      <c r="D190" s="1">
        <v>181815</v>
      </c>
      <c r="E190">
        <v>0</v>
      </c>
      <c r="F190" s="1">
        <v>21815</v>
      </c>
      <c r="G190" s="1">
        <v>160000</v>
      </c>
      <c r="H190" s="1">
        <v>159771</v>
      </c>
      <c r="I190" s="59" t="s">
        <v>2</v>
      </c>
    </row>
    <row r="191" spans="1:9" x14ac:dyDescent="0.2">
      <c r="A191">
        <v>930</v>
      </c>
      <c r="B191">
        <v>1346610</v>
      </c>
      <c r="C191">
        <v>0</v>
      </c>
      <c r="D191" s="1">
        <v>263269</v>
      </c>
      <c r="E191">
        <v>0</v>
      </c>
      <c r="F191" s="1">
        <v>8269</v>
      </c>
      <c r="G191" s="1">
        <v>255000</v>
      </c>
      <c r="H191" s="1">
        <v>255347</v>
      </c>
      <c r="I191" s="59" t="s">
        <v>2</v>
      </c>
    </row>
    <row r="192" spans="1:9" x14ac:dyDescent="0.2">
      <c r="A192">
        <v>930</v>
      </c>
      <c r="B192">
        <v>1346620</v>
      </c>
      <c r="C192">
        <v>0</v>
      </c>
      <c r="D192" s="1">
        <v>324201</v>
      </c>
      <c r="E192" s="1">
        <v>49799</v>
      </c>
      <c r="F192">
        <v>0</v>
      </c>
      <c r="G192" s="1">
        <v>374000</v>
      </c>
      <c r="H192" s="1">
        <v>374255</v>
      </c>
      <c r="I192" s="59" t="s">
        <v>2</v>
      </c>
    </row>
    <row r="193" spans="1:9" x14ac:dyDescent="0.2">
      <c r="A193">
        <v>930</v>
      </c>
      <c r="B193">
        <v>1346630</v>
      </c>
      <c r="C193">
        <v>0</v>
      </c>
      <c r="D193">
        <v>0</v>
      </c>
      <c r="E193" s="1">
        <v>7000</v>
      </c>
      <c r="F193">
        <v>0</v>
      </c>
      <c r="G193" s="1">
        <v>7000</v>
      </c>
      <c r="H193" s="1">
        <v>6539</v>
      </c>
      <c r="I193" s="59" t="s">
        <v>2</v>
      </c>
    </row>
    <row r="194" spans="1:9" x14ac:dyDescent="0.2">
      <c r="A194">
        <v>930</v>
      </c>
      <c r="B194">
        <v>1346710</v>
      </c>
      <c r="C194">
        <v>0</v>
      </c>
      <c r="D194">
        <v>0</v>
      </c>
      <c r="E194" s="1">
        <v>870000</v>
      </c>
      <c r="F194">
        <v>0</v>
      </c>
      <c r="G194" s="1">
        <v>870000</v>
      </c>
      <c r="H194" s="1">
        <v>870191</v>
      </c>
      <c r="I194" s="59" t="s">
        <v>2</v>
      </c>
    </row>
    <row r="195" spans="1:9" x14ac:dyDescent="0.2">
      <c r="A195">
        <v>930</v>
      </c>
      <c r="B195">
        <v>1346711</v>
      </c>
      <c r="C195">
        <v>0</v>
      </c>
      <c r="D195" s="1">
        <v>51501</v>
      </c>
      <c r="E195" s="1">
        <v>48499</v>
      </c>
      <c r="F195">
        <v>0</v>
      </c>
      <c r="G195" s="1">
        <v>100000</v>
      </c>
      <c r="H195">
        <v>0</v>
      </c>
      <c r="I195" s="59" t="s">
        <v>2</v>
      </c>
    </row>
    <row r="196" spans="1:9" x14ac:dyDescent="0.2">
      <c r="A196">
        <v>930</v>
      </c>
      <c r="B196">
        <v>1346720</v>
      </c>
      <c r="C196">
        <v>0</v>
      </c>
      <c r="D196">
        <v>0</v>
      </c>
      <c r="E196" s="1">
        <v>23000</v>
      </c>
      <c r="F196">
        <v>0</v>
      </c>
      <c r="G196" s="1">
        <v>23000</v>
      </c>
      <c r="H196" s="1">
        <v>23167</v>
      </c>
      <c r="I196" s="59" t="s">
        <v>2</v>
      </c>
    </row>
    <row r="197" spans="1:9" x14ac:dyDescent="0.2">
      <c r="A197">
        <v>930</v>
      </c>
      <c r="B197">
        <v>1346730</v>
      </c>
      <c r="C197">
        <v>0</v>
      </c>
      <c r="D197" s="1">
        <v>134493</v>
      </c>
      <c r="E197">
        <v>0</v>
      </c>
      <c r="F197" s="1">
        <v>20493</v>
      </c>
      <c r="G197" s="1">
        <v>114000</v>
      </c>
      <c r="H197" s="1">
        <v>131595</v>
      </c>
      <c r="I197" s="59" t="s">
        <v>2</v>
      </c>
    </row>
    <row r="198" spans="1:9" x14ac:dyDescent="0.2">
      <c r="A198">
        <v>930</v>
      </c>
      <c r="B198">
        <v>1346750</v>
      </c>
      <c r="C198">
        <v>0</v>
      </c>
      <c r="D198" s="1">
        <v>151294</v>
      </c>
      <c r="E198" s="1">
        <v>6706</v>
      </c>
      <c r="F198">
        <v>0</v>
      </c>
      <c r="G198" s="1">
        <v>158000</v>
      </c>
      <c r="H198" s="1">
        <v>139118</v>
      </c>
      <c r="I198" s="59" t="s">
        <v>2</v>
      </c>
    </row>
    <row r="199" spans="1:9" x14ac:dyDescent="0.2">
      <c r="A199">
        <v>930</v>
      </c>
      <c r="B199">
        <v>1346760</v>
      </c>
      <c r="C199">
        <v>0</v>
      </c>
      <c r="D199" s="1">
        <v>109659</v>
      </c>
      <c r="E199">
        <v>341</v>
      </c>
      <c r="F199">
        <v>0</v>
      </c>
      <c r="G199" s="1">
        <v>110000</v>
      </c>
      <c r="H199" s="1">
        <v>50148</v>
      </c>
      <c r="I199" s="59" t="s">
        <v>2</v>
      </c>
    </row>
    <row r="200" spans="1:9" x14ac:dyDescent="0.2">
      <c r="A200">
        <v>930</v>
      </c>
      <c r="B200">
        <v>1346761</v>
      </c>
      <c r="C200">
        <v>0</v>
      </c>
      <c r="D200" s="1">
        <v>181381</v>
      </c>
      <c r="E200">
        <v>0</v>
      </c>
      <c r="F200" s="1">
        <v>37381</v>
      </c>
      <c r="G200" s="1">
        <v>144000</v>
      </c>
      <c r="H200" s="1">
        <v>42044</v>
      </c>
      <c r="I200" s="59" t="s">
        <v>2</v>
      </c>
    </row>
    <row r="201" spans="1:9" x14ac:dyDescent="0.2">
      <c r="A201">
        <v>930</v>
      </c>
      <c r="B201">
        <v>1346790</v>
      </c>
      <c r="C201">
        <v>0</v>
      </c>
      <c r="D201" s="1">
        <v>341228</v>
      </c>
      <c r="E201">
        <v>0</v>
      </c>
      <c r="F201" s="1">
        <v>165228</v>
      </c>
      <c r="G201" s="1">
        <v>176000</v>
      </c>
      <c r="H201" s="1">
        <v>182547</v>
      </c>
      <c r="I201" s="59" t="s">
        <v>2</v>
      </c>
    </row>
    <row r="202" spans="1:9" x14ac:dyDescent="0.2">
      <c r="A202">
        <v>930</v>
      </c>
      <c r="B202">
        <v>1346810</v>
      </c>
      <c r="C202">
        <v>0</v>
      </c>
      <c r="D202">
        <v>0</v>
      </c>
      <c r="E202">
        <v>0</v>
      </c>
      <c r="F202">
        <v>0</v>
      </c>
      <c r="G202">
        <v>0</v>
      </c>
      <c r="H202" s="1">
        <v>1421</v>
      </c>
      <c r="I202" s="59" t="s">
        <v>2</v>
      </c>
    </row>
    <row r="203" spans="1:9" x14ac:dyDescent="0.2">
      <c r="A203">
        <v>930</v>
      </c>
      <c r="B203">
        <v>1346820</v>
      </c>
      <c r="C203">
        <v>0</v>
      </c>
      <c r="D203" s="1">
        <v>515270</v>
      </c>
      <c r="E203">
        <v>0</v>
      </c>
      <c r="F203" s="1">
        <v>1270</v>
      </c>
      <c r="G203" s="1">
        <v>514000</v>
      </c>
      <c r="H203" s="1">
        <v>258223</v>
      </c>
      <c r="I203" s="59" t="s">
        <v>2</v>
      </c>
    </row>
    <row r="204" spans="1:9" x14ac:dyDescent="0.2">
      <c r="A204">
        <v>930</v>
      </c>
      <c r="B204">
        <v>1346830</v>
      </c>
      <c r="C204">
        <v>0</v>
      </c>
      <c r="D204">
        <v>0</v>
      </c>
      <c r="E204" s="1">
        <v>67000</v>
      </c>
      <c r="F204">
        <v>0</v>
      </c>
      <c r="G204" s="1">
        <v>67000</v>
      </c>
      <c r="H204" s="1">
        <v>66844</v>
      </c>
      <c r="I204" s="59" t="s">
        <v>2</v>
      </c>
    </row>
    <row r="205" spans="1:9" x14ac:dyDescent="0.2">
      <c r="A205">
        <v>930</v>
      </c>
      <c r="B205">
        <v>1346840</v>
      </c>
      <c r="C205">
        <v>0</v>
      </c>
      <c r="D205" s="1">
        <v>35684</v>
      </c>
      <c r="E205">
        <v>0</v>
      </c>
      <c r="F205" s="1">
        <v>35684</v>
      </c>
      <c r="G205">
        <v>0</v>
      </c>
      <c r="H205">
        <v>0</v>
      </c>
      <c r="I205" s="59" t="s">
        <v>2</v>
      </c>
    </row>
    <row r="206" spans="1:9" x14ac:dyDescent="0.2">
      <c r="A206">
        <v>930</v>
      </c>
      <c r="B206">
        <v>1347100</v>
      </c>
      <c r="C206">
        <v>0</v>
      </c>
      <c r="D206" s="1">
        <v>202537</v>
      </c>
      <c r="E206">
        <v>0</v>
      </c>
      <c r="F206" s="1">
        <v>72537</v>
      </c>
      <c r="G206" s="1">
        <v>130000</v>
      </c>
      <c r="H206" s="1">
        <v>163490</v>
      </c>
      <c r="I206" s="59" t="s">
        <v>2</v>
      </c>
    </row>
    <row r="207" spans="1:9" x14ac:dyDescent="0.2">
      <c r="A207">
        <v>930</v>
      </c>
      <c r="B207">
        <v>1347110</v>
      </c>
      <c r="C207">
        <v>0</v>
      </c>
      <c r="D207">
        <v>0</v>
      </c>
      <c r="E207" s="1">
        <v>33000</v>
      </c>
      <c r="F207">
        <v>0</v>
      </c>
      <c r="G207" s="1">
        <v>33000</v>
      </c>
      <c r="H207" s="1">
        <v>33456</v>
      </c>
      <c r="I207" s="59" t="s">
        <v>2</v>
      </c>
    </row>
    <row r="208" spans="1:9" x14ac:dyDescent="0.2">
      <c r="A208">
        <v>930</v>
      </c>
      <c r="B208">
        <v>1347130</v>
      </c>
      <c r="C208">
        <v>0</v>
      </c>
      <c r="D208">
        <v>0</v>
      </c>
      <c r="E208" s="1">
        <v>10000</v>
      </c>
      <c r="F208">
        <v>0</v>
      </c>
      <c r="G208" s="1">
        <v>10000</v>
      </c>
      <c r="H208" s="1">
        <v>10200</v>
      </c>
      <c r="I208" s="59" t="s">
        <v>2</v>
      </c>
    </row>
    <row r="209" spans="1:9" x14ac:dyDescent="0.2">
      <c r="A209">
        <v>930</v>
      </c>
      <c r="B209">
        <v>1347140</v>
      </c>
      <c r="C209">
        <v>0</v>
      </c>
      <c r="D209" s="1">
        <v>60153</v>
      </c>
      <c r="E209">
        <v>0</v>
      </c>
      <c r="F209" s="1">
        <v>22153</v>
      </c>
      <c r="G209" s="1">
        <v>38000</v>
      </c>
      <c r="H209" s="1">
        <v>-2021</v>
      </c>
      <c r="I209" s="59" t="s">
        <v>2</v>
      </c>
    </row>
    <row r="210" spans="1:9" x14ac:dyDescent="0.2">
      <c r="A210">
        <v>930</v>
      </c>
      <c r="B210">
        <v>1347310</v>
      </c>
      <c r="C210">
        <v>0</v>
      </c>
      <c r="D210">
        <v>0</v>
      </c>
      <c r="E210" s="1">
        <v>9000</v>
      </c>
      <c r="F210">
        <v>0</v>
      </c>
      <c r="G210" s="1">
        <v>9000</v>
      </c>
      <c r="H210" s="1">
        <v>9148</v>
      </c>
      <c r="I210" s="59" t="s">
        <v>2</v>
      </c>
    </row>
    <row r="211" spans="1:9" x14ac:dyDescent="0.2">
      <c r="A211">
        <v>930</v>
      </c>
      <c r="B211">
        <v>1347340</v>
      </c>
      <c r="C211">
        <v>0</v>
      </c>
      <c r="D211" s="1">
        <v>77156</v>
      </c>
      <c r="E211" s="1">
        <v>242844</v>
      </c>
      <c r="F211">
        <v>0</v>
      </c>
      <c r="G211" s="1">
        <v>320000</v>
      </c>
      <c r="H211" s="1">
        <v>320969</v>
      </c>
      <c r="I211" s="59" t="s">
        <v>2</v>
      </c>
    </row>
    <row r="212" spans="1:9" x14ac:dyDescent="0.2">
      <c r="A212">
        <v>930</v>
      </c>
      <c r="B212">
        <v>1347350</v>
      </c>
      <c r="C212">
        <v>0</v>
      </c>
      <c r="D212">
        <v>0</v>
      </c>
      <c r="E212" s="1">
        <v>38000</v>
      </c>
      <c r="F212">
        <v>0</v>
      </c>
      <c r="G212" s="1">
        <v>38000</v>
      </c>
      <c r="H212" s="1">
        <v>37904</v>
      </c>
      <c r="I212" s="59" t="s">
        <v>2</v>
      </c>
    </row>
    <row r="213" spans="1:9" x14ac:dyDescent="0.2">
      <c r="A213">
        <v>930</v>
      </c>
      <c r="B213">
        <v>1348200</v>
      </c>
      <c r="C213">
        <v>0</v>
      </c>
      <c r="D213">
        <v>0</v>
      </c>
      <c r="E213" s="1">
        <v>12000</v>
      </c>
      <c r="F213">
        <v>0</v>
      </c>
      <c r="G213" s="1">
        <v>12000</v>
      </c>
      <c r="H213" s="1">
        <v>11672</v>
      </c>
      <c r="I213" s="59" t="s">
        <v>2</v>
      </c>
    </row>
    <row r="214" spans="1:9" x14ac:dyDescent="0.2">
      <c r="A214">
        <v>930</v>
      </c>
      <c r="B214">
        <v>1348210</v>
      </c>
      <c r="C214">
        <v>0</v>
      </c>
      <c r="D214" s="1">
        <v>229925</v>
      </c>
      <c r="E214">
        <v>0</v>
      </c>
      <c r="F214" s="1">
        <v>229925</v>
      </c>
      <c r="G214">
        <v>0</v>
      </c>
      <c r="H214">
        <v>0</v>
      </c>
      <c r="I214" s="59" t="s">
        <v>2</v>
      </c>
    </row>
    <row r="215" spans="1:9" x14ac:dyDescent="0.2">
      <c r="A215">
        <v>930</v>
      </c>
      <c r="B215">
        <v>1348211</v>
      </c>
      <c r="C215">
        <v>0</v>
      </c>
      <c r="D215" s="1">
        <v>3173</v>
      </c>
      <c r="E215" s="1">
        <v>3827</v>
      </c>
      <c r="F215">
        <v>0</v>
      </c>
      <c r="G215" s="1">
        <v>7000</v>
      </c>
      <c r="H215" s="1">
        <v>7285</v>
      </c>
      <c r="I215" s="59" t="s">
        <v>2</v>
      </c>
    </row>
    <row r="216" spans="1:9" x14ac:dyDescent="0.2">
      <c r="A216">
        <v>930</v>
      </c>
      <c r="B216">
        <v>1348220</v>
      </c>
      <c r="C216">
        <v>0</v>
      </c>
      <c r="D216">
        <v>0</v>
      </c>
      <c r="E216" s="1">
        <v>322000</v>
      </c>
      <c r="F216">
        <v>0</v>
      </c>
      <c r="G216" s="1">
        <v>322000</v>
      </c>
      <c r="H216" s="1">
        <v>322476</v>
      </c>
      <c r="I216" s="59" t="s">
        <v>2</v>
      </c>
    </row>
    <row r="217" spans="1:9" x14ac:dyDescent="0.2">
      <c r="A217">
        <v>930</v>
      </c>
      <c r="B217">
        <v>1348300</v>
      </c>
      <c r="C217">
        <v>0</v>
      </c>
      <c r="D217" s="1">
        <v>47205</v>
      </c>
      <c r="E217">
        <v>0</v>
      </c>
      <c r="F217" s="1">
        <v>20205</v>
      </c>
      <c r="G217" s="1">
        <v>27000</v>
      </c>
      <c r="H217" s="1">
        <v>26889</v>
      </c>
      <c r="I217" s="59" t="s">
        <v>2</v>
      </c>
    </row>
    <row r="218" spans="1:9" x14ac:dyDescent="0.2">
      <c r="A218">
        <v>930</v>
      </c>
      <c r="B218">
        <v>1348312</v>
      </c>
      <c r="C218">
        <v>0</v>
      </c>
      <c r="D218" s="1">
        <v>2845</v>
      </c>
      <c r="E218" s="1">
        <v>2155</v>
      </c>
      <c r="F218">
        <v>0</v>
      </c>
      <c r="G218" s="1">
        <v>5000</v>
      </c>
      <c r="H218" s="1">
        <v>5362</v>
      </c>
      <c r="I218" s="59" t="s">
        <v>2</v>
      </c>
    </row>
    <row r="219" spans="1:9" x14ac:dyDescent="0.2">
      <c r="A219">
        <v>930</v>
      </c>
      <c r="B219">
        <v>1348400</v>
      </c>
      <c r="C219">
        <v>0</v>
      </c>
      <c r="D219">
        <v>0</v>
      </c>
      <c r="E219" s="1">
        <v>12000</v>
      </c>
      <c r="F219">
        <v>0</v>
      </c>
      <c r="G219" s="1">
        <v>12000</v>
      </c>
      <c r="H219" s="1">
        <v>12143</v>
      </c>
      <c r="I219" s="59" t="s">
        <v>2</v>
      </c>
    </row>
    <row r="220" spans="1:9" x14ac:dyDescent="0.2">
      <c r="A220">
        <v>930</v>
      </c>
      <c r="B220">
        <v>1349030</v>
      </c>
      <c r="C220">
        <v>0</v>
      </c>
      <c r="D220" s="1">
        <v>11851</v>
      </c>
      <c r="E220">
        <v>0</v>
      </c>
      <c r="F220" s="1">
        <v>8851</v>
      </c>
      <c r="G220" s="1">
        <v>3000</v>
      </c>
      <c r="H220" s="1">
        <v>2852</v>
      </c>
      <c r="I220" s="59" t="s">
        <v>2</v>
      </c>
    </row>
    <row r="221" spans="1:9" x14ac:dyDescent="0.2">
      <c r="A221">
        <v>930</v>
      </c>
      <c r="B221">
        <v>1349050</v>
      </c>
      <c r="C221">
        <v>0</v>
      </c>
      <c r="D221" s="1">
        <v>15361</v>
      </c>
      <c r="E221">
        <v>0</v>
      </c>
      <c r="F221" s="1">
        <v>7361</v>
      </c>
      <c r="G221" s="1">
        <v>8000</v>
      </c>
      <c r="H221" s="1">
        <v>6881</v>
      </c>
      <c r="I221" s="59" t="s">
        <v>2</v>
      </c>
    </row>
    <row r="222" spans="1:9" x14ac:dyDescent="0.2">
      <c r="A222">
        <v>930</v>
      </c>
      <c r="B222">
        <v>1349051</v>
      </c>
      <c r="C222">
        <v>0</v>
      </c>
      <c r="D222" s="1">
        <v>24912</v>
      </c>
      <c r="E222">
        <v>0</v>
      </c>
      <c r="F222" s="1">
        <v>2912</v>
      </c>
      <c r="G222" s="1">
        <v>22000</v>
      </c>
      <c r="H222">
        <v>0</v>
      </c>
      <c r="I222" s="59" t="s">
        <v>2</v>
      </c>
    </row>
    <row r="223" spans="1:9" x14ac:dyDescent="0.2">
      <c r="A223">
        <v>930</v>
      </c>
      <c r="B223">
        <v>1349060</v>
      </c>
      <c r="C223">
        <v>0</v>
      </c>
      <c r="D223" s="1">
        <v>22958</v>
      </c>
      <c r="E223">
        <v>0</v>
      </c>
      <c r="F223" s="1">
        <v>18958</v>
      </c>
      <c r="G223" s="1">
        <v>4000</v>
      </c>
      <c r="H223" s="1">
        <v>26759</v>
      </c>
      <c r="I223" s="59" t="s">
        <v>2</v>
      </c>
    </row>
    <row r="224" spans="1:9" x14ac:dyDescent="0.2">
      <c r="A224">
        <v>930</v>
      </c>
      <c r="B224">
        <v>1349080</v>
      </c>
      <c r="C224">
        <v>0</v>
      </c>
      <c r="D224" s="1">
        <v>2139</v>
      </c>
      <c r="E224" s="1">
        <v>1861</v>
      </c>
      <c r="F224">
        <v>0</v>
      </c>
      <c r="G224" s="1">
        <v>4000</v>
      </c>
      <c r="H224" s="1">
        <v>4159</v>
      </c>
      <c r="I224" s="59" t="s">
        <v>2</v>
      </c>
    </row>
    <row r="225" spans="1:9" x14ac:dyDescent="0.2">
      <c r="A225">
        <v>930</v>
      </c>
      <c r="B225">
        <v>1349090</v>
      </c>
      <c r="C225">
        <v>0</v>
      </c>
      <c r="D225" s="1">
        <v>132987</v>
      </c>
      <c r="E225">
        <v>0</v>
      </c>
      <c r="F225" s="1">
        <v>26987</v>
      </c>
      <c r="G225" s="1">
        <v>106000</v>
      </c>
      <c r="H225" s="1">
        <v>131588</v>
      </c>
      <c r="I225" s="59" t="s">
        <v>2</v>
      </c>
    </row>
    <row r="226" spans="1:9" x14ac:dyDescent="0.2">
      <c r="A226">
        <v>930</v>
      </c>
      <c r="B226">
        <v>1349100</v>
      </c>
      <c r="C226">
        <v>0</v>
      </c>
      <c r="D226" s="1">
        <v>2334</v>
      </c>
      <c r="E226" s="1">
        <v>1666</v>
      </c>
      <c r="F226">
        <v>0</v>
      </c>
      <c r="G226" s="1">
        <v>4000</v>
      </c>
      <c r="H226">
        <v>0</v>
      </c>
      <c r="I226" s="59" t="s">
        <v>2</v>
      </c>
    </row>
    <row r="227" spans="1:9" x14ac:dyDescent="0.2">
      <c r="A227">
        <v>930</v>
      </c>
      <c r="B227">
        <v>1349110</v>
      </c>
      <c r="C227">
        <v>0</v>
      </c>
      <c r="D227" s="1">
        <v>7500</v>
      </c>
      <c r="E227" s="1">
        <v>11500</v>
      </c>
      <c r="F227">
        <v>0</v>
      </c>
      <c r="G227" s="1">
        <v>19000</v>
      </c>
      <c r="H227" s="1">
        <v>18750</v>
      </c>
      <c r="I227" s="59" t="s">
        <v>2</v>
      </c>
    </row>
    <row r="228" spans="1:9" x14ac:dyDescent="0.2">
      <c r="A228">
        <v>930</v>
      </c>
      <c r="B228">
        <v>1349130</v>
      </c>
      <c r="C228">
        <v>0</v>
      </c>
      <c r="D228" s="1">
        <v>8969</v>
      </c>
      <c r="E228">
        <v>0</v>
      </c>
      <c r="F228" s="1">
        <v>8969</v>
      </c>
      <c r="G228">
        <v>0</v>
      </c>
      <c r="H228">
        <v>0</v>
      </c>
      <c r="I228" s="59" t="s">
        <v>2</v>
      </c>
    </row>
    <row r="229" spans="1:9" x14ac:dyDescent="0.2">
      <c r="A229">
        <v>950</v>
      </c>
      <c r="B229">
        <v>1360000</v>
      </c>
      <c r="C229">
        <v>0</v>
      </c>
      <c r="D229" s="1">
        <v>-98650</v>
      </c>
      <c r="E229" s="1">
        <v>98650</v>
      </c>
      <c r="F229">
        <v>0</v>
      </c>
      <c r="G229">
        <v>0</v>
      </c>
      <c r="H229" s="1">
        <v>995263</v>
      </c>
      <c r="I229" s="59" t="s">
        <v>2</v>
      </c>
    </row>
    <row r="230" spans="1:9" x14ac:dyDescent="0.2">
      <c r="A230">
        <v>210</v>
      </c>
      <c r="B230">
        <v>1413100</v>
      </c>
      <c r="C230">
        <v>0</v>
      </c>
      <c r="D230" s="1">
        <v>-10888.91</v>
      </c>
      <c r="E230">
        <v>0</v>
      </c>
      <c r="F230" s="1">
        <v>1111.0899999999999</v>
      </c>
      <c r="G230" s="1">
        <v>-12000</v>
      </c>
      <c r="H230" s="1">
        <v>-14196.96</v>
      </c>
      <c r="I230" s="59" t="s">
        <v>2</v>
      </c>
    </row>
    <row r="231" spans="1:9" x14ac:dyDescent="0.2">
      <c r="A231">
        <v>640</v>
      </c>
      <c r="B231">
        <v>1433000</v>
      </c>
      <c r="C231">
        <v>0</v>
      </c>
      <c r="D231" s="1">
        <v>1477095.68</v>
      </c>
      <c r="E231" s="1">
        <v>22904.32</v>
      </c>
      <c r="F231">
        <v>0</v>
      </c>
      <c r="G231" s="1">
        <v>1500000</v>
      </c>
      <c r="H231" s="1">
        <v>2145521.64</v>
      </c>
      <c r="I231" s="59" t="s">
        <v>2</v>
      </c>
    </row>
    <row r="232" spans="1:9" x14ac:dyDescent="0.2">
      <c r="A232">
        <v>640</v>
      </c>
      <c r="B232">
        <v>1433100</v>
      </c>
      <c r="C232">
        <v>0</v>
      </c>
      <c r="D232" s="1">
        <v>1500</v>
      </c>
      <c r="E232">
        <v>500</v>
      </c>
      <c r="F232">
        <v>0</v>
      </c>
      <c r="G232" s="1">
        <v>2000</v>
      </c>
      <c r="H232" s="1">
        <v>7100</v>
      </c>
      <c r="I232" s="59" t="s">
        <v>2</v>
      </c>
    </row>
    <row r="233" spans="1:9" x14ac:dyDescent="0.2">
      <c r="A233">
        <v>640</v>
      </c>
      <c r="B233">
        <v>1433200</v>
      </c>
      <c r="C233">
        <v>0</v>
      </c>
      <c r="D233" s="1">
        <v>58110.85</v>
      </c>
      <c r="E233" s="1">
        <v>1889.15</v>
      </c>
      <c r="F233">
        <v>0</v>
      </c>
      <c r="G233" s="1">
        <v>60000</v>
      </c>
      <c r="H233" s="1">
        <v>65070.54</v>
      </c>
      <c r="I233" s="59" t="s">
        <v>2</v>
      </c>
    </row>
    <row r="234" spans="1:9" x14ac:dyDescent="0.2">
      <c r="A234">
        <v>640</v>
      </c>
      <c r="B234">
        <v>1433300</v>
      </c>
      <c r="C234">
        <v>0</v>
      </c>
      <c r="D234" s="1">
        <v>21257.5</v>
      </c>
      <c r="E234">
        <v>0</v>
      </c>
      <c r="F234" s="1">
        <v>21257.5</v>
      </c>
      <c r="G234">
        <v>0</v>
      </c>
      <c r="H234">
        <v>0</v>
      </c>
      <c r="I234" s="59" t="s">
        <v>2</v>
      </c>
    </row>
    <row r="235" spans="1:9" x14ac:dyDescent="0.2">
      <c r="A235">
        <v>640</v>
      </c>
      <c r="B235">
        <v>1439000</v>
      </c>
      <c r="C235">
        <v>0</v>
      </c>
      <c r="D235" s="1">
        <v>527534</v>
      </c>
      <c r="E235">
        <v>0</v>
      </c>
      <c r="F235">
        <v>534</v>
      </c>
      <c r="G235" s="1">
        <v>527000</v>
      </c>
      <c r="H235" s="1">
        <v>526805</v>
      </c>
      <c r="I235" s="59" t="s">
        <v>2</v>
      </c>
    </row>
    <row r="236" spans="1:9" x14ac:dyDescent="0.2">
      <c r="A236">
        <v>220</v>
      </c>
      <c r="B236">
        <v>1443000</v>
      </c>
      <c r="C236">
        <v>0</v>
      </c>
      <c r="D236" s="1">
        <v>2303176.56</v>
      </c>
      <c r="E236" s="1">
        <v>96823.44</v>
      </c>
      <c r="F236">
        <v>0</v>
      </c>
      <c r="G236" s="1">
        <v>2400000</v>
      </c>
      <c r="H236" s="1">
        <v>3163765.68</v>
      </c>
      <c r="I236" s="59" t="s">
        <v>2</v>
      </c>
    </row>
    <row r="237" spans="1:9" x14ac:dyDescent="0.2">
      <c r="A237">
        <v>221</v>
      </c>
      <c r="B237">
        <v>1443000</v>
      </c>
      <c r="C237">
        <v>0</v>
      </c>
      <c r="D237" s="1">
        <v>211400</v>
      </c>
      <c r="E237">
        <v>0</v>
      </c>
      <c r="F237" s="1">
        <v>211400</v>
      </c>
      <c r="G237">
        <v>0</v>
      </c>
      <c r="H237">
        <v>0</v>
      </c>
      <c r="I237" s="59" t="s">
        <v>2</v>
      </c>
    </row>
    <row r="238" spans="1:9" x14ac:dyDescent="0.2">
      <c r="A238">
        <v>220</v>
      </c>
      <c r="B238">
        <v>1443100</v>
      </c>
      <c r="C238">
        <v>0</v>
      </c>
      <c r="D238" s="1">
        <v>80460</v>
      </c>
      <c r="E238">
        <v>0</v>
      </c>
      <c r="F238" s="1">
        <v>80460</v>
      </c>
      <c r="G238">
        <v>0</v>
      </c>
      <c r="H238" s="1">
        <v>3950</v>
      </c>
      <c r="I238" s="59" t="s">
        <v>2</v>
      </c>
    </row>
    <row r="239" spans="1:9" x14ac:dyDescent="0.2">
      <c r="A239">
        <v>210</v>
      </c>
      <c r="B239">
        <v>1472000</v>
      </c>
      <c r="C239">
        <v>0</v>
      </c>
      <c r="D239" s="1">
        <v>4551.03</v>
      </c>
      <c r="E239">
        <v>448.97</v>
      </c>
      <c r="F239">
        <v>0</v>
      </c>
      <c r="G239" s="1">
        <v>5000</v>
      </c>
      <c r="H239" s="1">
        <v>16944</v>
      </c>
      <c r="I239" s="59" t="s">
        <v>2</v>
      </c>
    </row>
    <row r="240" spans="1:9" x14ac:dyDescent="0.2">
      <c r="A240">
        <v>800</v>
      </c>
      <c r="B240">
        <v>1472000</v>
      </c>
      <c r="C240">
        <v>0</v>
      </c>
      <c r="D240" s="1">
        <v>-1500.54</v>
      </c>
      <c r="E240" s="1">
        <v>6500.54</v>
      </c>
      <c r="F240">
        <v>0</v>
      </c>
      <c r="G240" s="1">
        <v>5000</v>
      </c>
      <c r="H240" s="1">
        <v>12671.92</v>
      </c>
      <c r="I240" s="59" t="s">
        <v>2</v>
      </c>
    </row>
    <row r="241" spans="1:9" x14ac:dyDescent="0.2">
      <c r="A241">
        <v>800</v>
      </c>
      <c r="B241">
        <v>1473000</v>
      </c>
      <c r="C241">
        <v>0</v>
      </c>
      <c r="D241">
        <v>120.4</v>
      </c>
      <c r="E241">
        <v>0</v>
      </c>
      <c r="F241">
        <v>120.4</v>
      </c>
      <c r="G241">
        <v>0</v>
      </c>
      <c r="H241">
        <v>0.04</v>
      </c>
      <c r="I241" s="59" t="s">
        <v>2</v>
      </c>
    </row>
    <row r="242" spans="1:9" x14ac:dyDescent="0.2">
      <c r="A242">
        <v>660</v>
      </c>
      <c r="B242">
        <v>1511000</v>
      </c>
      <c r="C242">
        <v>0</v>
      </c>
      <c r="D242">
        <v>0</v>
      </c>
      <c r="E242" s="1">
        <v>32000</v>
      </c>
      <c r="F242">
        <v>0</v>
      </c>
      <c r="G242" s="1">
        <v>32000</v>
      </c>
      <c r="H242" s="1">
        <v>1395554</v>
      </c>
      <c r="I242" s="59" t="s">
        <v>2</v>
      </c>
    </row>
    <row r="243" spans="1:9" x14ac:dyDescent="0.2">
      <c r="A243">
        <v>590</v>
      </c>
      <c r="B243">
        <v>1591900</v>
      </c>
      <c r="C243">
        <v>0</v>
      </c>
      <c r="D243">
        <v>0</v>
      </c>
      <c r="E243" s="1">
        <v>100000</v>
      </c>
      <c r="F243">
        <v>0</v>
      </c>
      <c r="G243" s="1">
        <v>100000</v>
      </c>
      <c r="H243" s="1">
        <v>1506565.04</v>
      </c>
      <c r="I243" s="59" t="s">
        <v>2</v>
      </c>
    </row>
    <row r="244" spans="1:9" x14ac:dyDescent="0.2">
      <c r="A244">
        <v>690</v>
      </c>
      <c r="B244">
        <v>1594100</v>
      </c>
      <c r="C244">
        <v>0</v>
      </c>
      <c r="D244" s="1">
        <v>125000</v>
      </c>
      <c r="E244">
        <v>0</v>
      </c>
      <c r="F244" s="1">
        <v>25000</v>
      </c>
      <c r="G244" s="1">
        <v>100000</v>
      </c>
      <c r="H244" s="1">
        <v>975556.37</v>
      </c>
      <c r="I244" s="59" t="s">
        <v>2</v>
      </c>
    </row>
    <row r="245" spans="1:9" x14ac:dyDescent="0.2">
      <c r="A245">
        <v>691</v>
      </c>
      <c r="B245">
        <v>1599200</v>
      </c>
      <c r="C245">
        <v>0</v>
      </c>
      <c r="D245">
        <v>0</v>
      </c>
      <c r="E245" s="1">
        <v>100000</v>
      </c>
      <c r="F245">
        <v>0</v>
      </c>
      <c r="G245" s="1">
        <v>100000</v>
      </c>
      <c r="H245" s="1">
        <v>1204617</v>
      </c>
      <c r="I245" s="59" t="s">
        <v>2</v>
      </c>
    </row>
    <row r="246" spans="1:9" x14ac:dyDescent="0.2">
      <c r="A246">
        <v>691</v>
      </c>
      <c r="B246">
        <v>1599900</v>
      </c>
      <c r="C246">
        <v>0</v>
      </c>
      <c r="D246" s="1">
        <v>18170000</v>
      </c>
      <c r="E246">
        <v>0</v>
      </c>
      <c r="F246">
        <v>0</v>
      </c>
      <c r="G246" s="1">
        <v>18170000</v>
      </c>
      <c r="H246">
        <v>0</v>
      </c>
      <c r="I246" s="59" t="s">
        <v>2</v>
      </c>
    </row>
    <row r="247" spans="1:9" x14ac:dyDescent="0.2">
      <c r="D247" s="1">
        <f>SUM(D2:D246)</f>
        <v>361460857.90999991</v>
      </c>
      <c r="G247" s="1"/>
    </row>
    <row r="248" spans="1:9" x14ac:dyDescent="0.2">
      <c r="D248" s="1"/>
      <c r="G248" s="1"/>
    </row>
    <row r="249" spans="1:9" x14ac:dyDescent="0.2">
      <c r="A249">
        <v>110</v>
      </c>
      <c r="B249">
        <v>1611000</v>
      </c>
      <c r="C249">
        <v>4</v>
      </c>
      <c r="D249" s="1">
        <v>2128959.79</v>
      </c>
      <c r="E249">
        <v>0</v>
      </c>
      <c r="F249" s="1">
        <v>11959.79</v>
      </c>
      <c r="G249" s="1">
        <v>2117000</v>
      </c>
      <c r="H249" s="1">
        <v>2108283.7999999998</v>
      </c>
      <c r="I249" s="59" t="s">
        <v>2</v>
      </c>
    </row>
    <row r="250" spans="1:9" x14ac:dyDescent="0.2">
      <c r="A250">
        <v>110</v>
      </c>
      <c r="B250">
        <v>1611200</v>
      </c>
      <c r="C250">
        <v>0</v>
      </c>
      <c r="D250" s="1">
        <v>1727623.15</v>
      </c>
      <c r="E250" s="1">
        <v>7445.33</v>
      </c>
      <c r="F250">
        <v>0</v>
      </c>
      <c r="G250" s="1">
        <v>40000</v>
      </c>
      <c r="H250" s="1">
        <v>39112.65</v>
      </c>
      <c r="I250" s="59" t="s">
        <v>2</v>
      </c>
    </row>
    <row r="251" spans="1:9" x14ac:dyDescent="0.2">
      <c r="A251">
        <v>110</v>
      </c>
      <c r="B251">
        <v>1612000</v>
      </c>
      <c r="C251">
        <v>0</v>
      </c>
      <c r="D251" s="1">
        <v>318766.98</v>
      </c>
      <c r="E251" s="1">
        <v>4346.5</v>
      </c>
      <c r="F251">
        <v>0</v>
      </c>
      <c r="G251" s="1">
        <v>13000</v>
      </c>
      <c r="H251" s="1">
        <v>8115.57</v>
      </c>
      <c r="I251" s="59" t="s">
        <v>2</v>
      </c>
    </row>
    <row r="252" spans="1:9" x14ac:dyDescent="0.2">
      <c r="A252">
        <v>110</v>
      </c>
      <c r="B252">
        <v>1613000</v>
      </c>
      <c r="C252">
        <v>0</v>
      </c>
      <c r="D252" s="1">
        <v>4259803.45</v>
      </c>
      <c r="E252">
        <v>0</v>
      </c>
      <c r="F252">
        <v>0</v>
      </c>
      <c r="G252">
        <v>0</v>
      </c>
      <c r="H252" s="1">
        <v>192530</v>
      </c>
      <c r="I252" s="59" t="s">
        <v>2</v>
      </c>
    </row>
    <row r="253" spans="1:9" x14ac:dyDescent="0.2">
      <c r="A253">
        <v>110</v>
      </c>
      <c r="B253">
        <v>1613100</v>
      </c>
      <c r="C253">
        <v>0</v>
      </c>
      <c r="D253" s="1">
        <v>43244.79</v>
      </c>
      <c r="E253" s="1">
        <v>3803.63</v>
      </c>
      <c r="F253">
        <v>0</v>
      </c>
      <c r="G253" s="1">
        <v>69000</v>
      </c>
      <c r="H253" s="1">
        <v>81049.77</v>
      </c>
      <c r="I253" s="59" t="s">
        <v>2</v>
      </c>
    </row>
    <row r="254" spans="1:9" x14ac:dyDescent="0.2">
      <c r="A254">
        <v>110</v>
      </c>
      <c r="B254">
        <v>1613200</v>
      </c>
      <c r="C254">
        <v>0</v>
      </c>
      <c r="D254" s="1">
        <v>2103.8200000000002</v>
      </c>
      <c r="E254">
        <v>0</v>
      </c>
      <c r="F254" s="1">
        <v>5932</v>
      </c>
      <c r="G254" s="1">
        <v>27000</v>
      </c>
      <c r="H254" s="1">
        <v>21141.99</v>
      </c>
      <c r="I254" s="59" t="s">
        <v>2</v>
      </c>
    </row>
    <row r="255" spans="1:9" x14ac:dyDescent="0.2">
      <c r="A255">
        <v>110</v>
      </c>
      <c r="B255">
        <v>1613300</v>
      </c>
      <c r="C255">
        <v>0</v>
      </c>
      <c r="D255" s="1">
        <v>79752.19</v>
      </c>
      <c r="E255" s="1">
        <v>5763</v>
      </c>
      <c r="F255">
        <v>0</v>
      </c>
      <c r="G255" s="1">
        <v>17000</v>
      </c>
      <c r="H255" s="1">
        <v>17060</v>
      </c>
      <c r="I255" s="59" t="s">
        <v>2</v>
      </c>
    </row>
    <row r="256" spans="1:9" x14ac:dyDescent="0.2">
      <c r="A256">
        <v>110</v>
      </c>
      <c r="B256">
        <v>1614000</v>
      </c>
      <c r="C256">
        <v>0</v>
      </c>
      <c r="D256" s="1">
        <v>616393.15</v>
      </c>
      <c r="E256">
        <v>0</v>
      </c>
      <c r="F256" s="1">
        <v>36091</v>
      </c>
      <c r="G256" s="1">
        <v>191000</v>
      </c>
      <c r="H256" s="1">
        <v>164945.07999999999</v>
      </c>
      <c r="I256" s="59" t="s">
        <v>2</v>
      </c>
    </row>
    <row r="257" spans="1:9" x14ac:dyDescent="0.2">
      <c r="A257">
        <v>110</v>
      </c>
      <c r="B257">
        <v>1615000</v>
      </c>
      <c r="C257">
        <v>0</v>
      </c>
      <c r="D257" s="1">
        <v>1040858.94</v>
      </c>
      <c r="E257" s="1">
        <v>32273</v>
      </c>
      <c r="F257">
        <v>0</v>
      </c>
      <c r="G257" s="1">
        <v>48000</v>
      </c>
      <c r="H257" s="1">
        <v>53309</v>
      </c>
      <c r="I257" s="59" t="s">
        <v>2</v>
      </c>
    </row>
    <row r="258" spans="1:9" x14ac:dyDescent="0.2">
      <c r="A258">
        <v>110</v>
      </c>
      <c r="B258">
        <v>1617000</v>
      </c>
      <c r="C258">
        <v>0</v>
      </c>
      <c r="D258" s="1">
        <v>1334852.7</v>
      </c>
      <c r="E258">
        <v>0</v>
      </c>
      <c r="F258">
        <v>583.14</v>
      </c>
      <c r="G258" s="1">
        <v>8000</v>
      </c>
      <c r="H258" s="1">
        <v>55855</v>
      </c>
      <c r="I258" s="59" t="s">
        <v>2</v>
      </c>
    </row>
    <row r="259" spans="1:9" x14ac:dyDescent="0.2">
      <c r="A259">
        <v>110</v>
      </c>
      <c r="B259">
        <v>1621100</v>
      </c>
      <c r="C259">
        <v>0</v>
      </c>
      <c r="D259" s="1">
        <v>1766759.91</v>
      </c>
      <c r="E259" s="1">
        <v>27575</v>
      </c>
      <c r="F259">
        <v>0</v>
      </c>
      <c r="G259" s="1">
        <v>146000</v>
      </c>
      <c r="H259" s="1">
        <v>131027</v>
      </c>
      <c r="I259" s="59" t="s">
        <v>2</v>
      </c>
    </row>
    <row r="260" spans="1:9" x14ac:dyDescent="0.2">
      <c r="A260">
        <v>110</v>
      </c>
      <c r="B260">
        <v>1621300</v>
      </c>
      <c r="C260">
        <v>0</v>
      </c>
      <c r="D260" s="1">
        <v>1199392.8400000001</v>
      </c>
      <c r="E260">
        <v>376.85</v>
      </c>
      <c r="F260">
        <v>0</v>
      </c>
      <c r="G260" s="1">
        <v>1728000</v>
      </c>
      <c r="H260" s="1">
        <v>2037592.8</v>
      </c>
      <c r="I260" s="59" t="s">
        <v>2</v>
      </c>
    </row>
    <row r="261" spans="1:9" x14ac:dyDescent="0.2">
      <c r="A261">
        <v>110</v>
      </c>
      <c r="B261">
        <v>1621500</v>
      </c>
      <c r="C261">
        <v>0</v>
      </c>
      <c r="D261" s="1">
        <v>725763.88</v>
      </c>
      <c r="E261">
        <v>151</v>
      </c>
      <c r="F261">
        <v>0</v>
      </c>
      <c r="G261" s="1">
        <v>4000</v>
      </c>
      <c r="H261">
        <v>0</v>
      </c>
      <c r="I261" s="59" t="s">
        <v>2</v>
      </c>
    </row>
    <row r="262" spans="1:9" x14ac:dyDescent="0.2">
      <c r="A262">
        <v>110</v>
      </c>
      <c r="B262">
        <v>1623100</v>
      </c>
      <c r="C262">
        <v>0</v>
      </c>
      <c r="D262" s="1">
        <v>1655494.52</v>
      </c>
      <c r="E262">
        <v>0</v>
      </c>
      <c r="F262">
        <v>202.52</v>
      </c>
      <c r="G262" s="1">
        <v>30000</v>
      </c>
      <c r="H262">
        <v>0</v>
      </c>
      <c r="I262" s="59" t="s">
        <v>2</v>
      </c>
    </row>
    <row r="263" spans="1:9" x14ac:dyDescent="0.2">
      <c r="A263">
        <v>110</v>
      </c>
      <c r="B263">
        <v>1623200</v>
      </c>
      <c r="C263">
        <v>0</v>
      </c>
      <c r="D263" s="1">
        <v>1125700.3500000001</v>
      </c>
      <c r="E263" s="1">
        <v>1745.9</v>
      </c>
      <c r="F263">
        <v>0</v>
      </c>
      <c r="G263" s="1">
        <v>4000</v>
      </c>
      <c r="H263">
        <v>0</v>
      </c>
      <c r="I263" s="59" t="s">
        <v>2</v>
      </c>
    </row>
    <row r="264" spans="1:9" x14ac:dyDescent="0.2">
      <c r="A264">
        <v>110</v>
      </c>
      <c r="B264">
        <v>1711000</v>
      </c>
      <c r="C264">
        <v>0</v>
      </c>
      <c r="D264" s="1">
        <v>2545787.62</v>
      </c>
      <c r="E264">
        <v>56.32</v>
      </c>
      <c r="F264">
        <v>0</v>
      </c>
      <c r="G264" s="1">
        <v>3000</v>
      </c>
      <c r="H264">
        <v>0</v>
      </c>
      <c r="I264" s="59" t="s">
        <v>2</v>
      </c>
    </row>
    <row r="265" spans="1:9" x14ac:dyDescent="0.2">
      <c r="A265">
        <v>110</v>
      </c>
      <c r="B265">
        <v>1712200</v>
      </c>
      <c r="C265">
        <v>0</v>
      </c>
      <c r="D265" s="1">
        <v>5814930.8799999999</v>
      </c>
      <c r="E265">
        <v>465.08</v>
      </c>
      <c r="F265">
        <v>0</v>
      </c>
      <c r="G265" s="1">
        <v>3000</v>
      </c>
      <c r="H265">
        <v>0</v>
      </c>
      <c r="I265" s="59" t="s">
        <v>2</v>
      </c>
    </row>
    <row r="266" spans="1:9" x14ac:dyDescent="0.2">
      <c r="A266">
        <v>110</v>
      </c>
      <c r="B266">
        <v>1712300</v>
      </c>
      <c r="C266">
        <v>0</v>
      </c>
      <c r="D266" s="1">
        <v>2789666.45</v>
      </c>
      <c r="E266">
        <v>476.3</v>
      </c>
      <c r="F266">
        <v>0</v>
      </c>
      <c r="G266" s="1">
        <v>2000</v>
      </c>
      <c r="H266">
        <v>0</v>
      </c>
      <c r="I266" s="59" t="s">
        <v>2</v>
      </c>
    </row>
    <row r="267" spans="1:9" x14ac:dyDescent="0.2">
      <c r="A267">
        <v>110</v>
      </c>
      <c r="B267">
        <v>1712400</v>
      </c>
      <c r="C267">
        <v>0</v>
      </c>
      <c r="D267" s="1">
        <v>1424294.63</v>
      </c>
      <c r="E267">
        <v>233.02</v>
      </c>
      <c r="F267">
        <v>0</v>
      </c>
      <c r="G267" s="1">
        <v>319000</v>
      </c>
      <c r="H267" s="1">
        <v>310499.56</v>
      </c>
      <c r="I267" s="59" t="s">
        <v>2</v>
      </c>
    </row>
    <row r="268" spans="1:9" x14ac:dyDescent="0.2">
      <c r="A268">
        <v>110</v>
      </c>
      <c r="B268">
        <v>1714000</v>
      </c>
      <c r="C268">
        <v>0</v>
      </c>
      <c r="D268" s="1">
        <v>741276.85</v>
      </c>
      <c r="E268">
        <v>698.54</v>
      </c>
      <c r="F268">
        <v>0</v>
      </c>
      <c r="G268" s="1">
        <v>1000</v>
      </c>
      <c r="H268" s="1">
        <v>1560</v>
      </c>
      <c r="I268" s="59" t="s">
        <v>2</v>
      </c>
    </row>
    <row r="269" spans="1:9" x14ac:dyDescent="0.2">
      <c r="A269">
        <v>110</v>
      </c>
      <c r="B269">
        <v>1715000</v>
      </c>
      <c r="C269">
        <v>0</v>
      </c>
      <c r="D269" s="1">
        <v>1364186.91</v>
      </c>
      <c r="E269" s="1">
        <v>2220.54</v>
      </c>
      <c r="F269">
        <v>0</v>
      </c>
      <c r="G269" s="1">
        <v>5000</v>
      </c>
      <c r="H269" s="1">
        <v>2743.8</v>
      </c>
      <c r="I269" s="59" t="s">
        <v>2</v>
      </c>
    </row>
    <row r="270" spans="1:9" x14ac:dyDescent="0.2">
      <c r="A270">
        <v>110</v>
      </c>
      <c r="B270">
        <v>1721000</v>
      </c>
      <c r="C270">
        <v>0</v>
      </c>
      <c r="D270" s="1">
        <v>903722.62</v>
      </c>
      <c r="E270">
        <v>0</v>
      </c>
      <c r="F270">
        <v>169.35</v>
      </c>
      <c r="G270" s="1">
        <v>48000</v>
      </c>
      <c r="H270" s="1">
        <v>52461.66</v>
      </c>
      <c r="I270" s="59" t="s">
        <v>2</v>
      </c>
    </row>
    <row r="271" spans="1:9" x14ac:dyDescent="0.2">
      <c r="A271">
        <v>110</v>
      </c>
      <c r="B271">
        <v>1723000</v>
      </c>
      <c r="C271">
        <v>0</v>
      </c>
      <c r="D271" s="1">
        <v>372604.7</v>
      </c>
      <c r="E271" s="1">
        <v>1613.5</v>
      </c>
      <c r="F271">
        <v>0</v>
      </c>
      <c r="G271" s="1">
        <v>2000</v>
      </c>
      <c r="H271">
        <v>0</v>
      </c>
      <c r="I271" s="59" t="s">
        <v>2</v>
      </c>
    </row>
    <row r="272" spans="1:9" x14ac:dyDescent="0.2">
      <c r="A272">
        <v>110</v>
      </c>
      <c r="B272">
        <v>1729998</v>
      </c>
      <c r="C272">
        <v>0</v>
      </c>
      <c r="D272" s="1">
        <v>120214</v>
      </c>
      <c r="E272" s="1">
        <v>118196.55</v>
      </c>
      <c r="F272">
        <v>0</v>
      </c>
      <c r="G272" s="1">
        <v>4378000</v>
      </c>
      <c r="H272" s="1">
        <v>5799914</v>
      </c>
      <c r="I272" s="59" t="s">
        <v>2</v>
      </c>
    </row>
    <row r="273" spans="1:9" x14ac:dyDescent="0.2">
      <c r="A273">
        <v>110</v>
      </c>
      <c r="B273">
        <v>1731000</v>
      </c>
      <c r="C273">
        <v>0</v>
      </c>
      <c r="D273" s="1">
        <v>2259640.71</v>
      </c>
      <c r="E273">
        <v>0</v>
      </c>
      <c r="F273" s="1">
        <v>9901.18</v>
      </c>
      <c r="G273">
        <v>0</v>
      </c>
      <c r="H273" s="1">
        <v>34991.06</v>
      </c>
      <c r="I273" s="59" t="s">
        <v>2</v>
      </c>
    </row>
    <row r="274" spans="1:9" x14ac:dyDescent="0.2">
      <c r="A274">
        <v>110</v>
      </c>
      <c r="B274">
        <v>1733000</v>
      </c>
      <c r="C274">
        <v>0</v>
      </c>
      <c r="D274" s="1">
        <v>2365342.52</v>
      </c>
      <c r="E274" s="1">
        <v>3350737.79</v>
      </c>
      <c r="F274">
        <v>0</v>
      </c>
      <c r="G274" s="1">
        <v>3949000</v>
      </c>
      <c r="H274" s="1">
        <v>861013.4</v>
      </c>
      <c r="I274" s="59" t="s">
        <v>2</v>
      </c>
    </row>
    <row r="275" spans="1:9" x14ac:dyDescent="0.2">
      <c r="A275">
        <v>110</v>
      </c>
      <c r="B275">
        <v>1741000</v>
      </c>
      <c r="C275">
        <v>0</v>
      </c>
      <c r="D275" s="1">
        <v>1111523.46</v>
      </c>
      <c r="E275">
        <v>0</v>
      </c>
      <c r="F275" s="1">
        <v>58768.82</v>
      </c>
      <c r="G275" s="1">
        <v>340000</v>
      </c>
      <c r="H275" s="1">
        <v>342520.21</v>
      </c>
      <c r="I275" s="59" t="s">
        <v>2</v>
      </c>
    </row>
    <row r="276" spans="1:9" x14ac:dyDescent="0.2">
      <c r="A276">
        <v>110</v>
      </c>
      <c r="B276">
        <v>1743000</v>
      </c>
      <c r="C276">
        <v>0</v>
      </c>
      <c r="D276" s="1">
        <v>661069.25</v>
      </c>
      <c r="E276">
        <v>302.39999999999998</v>
      </c>
      <c r="F276">
        <v>0</v>
      </c>
      <c r="G276" s="1">
        <v>141000</v>
      </c>
      <c r="H276" s="1">
        <v>68303.600000000006</v>
      </c>
      <c r="I276" s="59" t="s">
        <v>2</v>
      </c>
    </row>
    <row r="277" spans="1:9" x14ac:dyDescent="0.2">
      <c r="A277">
        <v>110</v>
      </c>
      <c r="B277">
        <v>1746000</v>
      </c>
      <c r="C277">
        <v>0</v>
      </c>
      <c r="D277" s="1">
        <v>3527655.61</v>
      </c>
      <c r="E277">
        <v>0</v>
      </c>
      <c r="F277">
        <v>0</v>
      </c>
      <c r="G277">
        <v>0</v>
      </c>
      <c r="H277" s="1">
        <v>3088.8</v>
      </c>
      <c r="I277" s="59" t="s">
        <v>2</v>
      </c>
    </row>
    <row r="278" spans="1:9" x14ac:dyDescent="0.2">
      <c r="A278">
        <v>110</v>
      </c>
      <c r="B278">
        <v>1746100</v>
      </c>
      <c r="C278">
        <v>0</v>
      </c>
      <c r="D278" s="1">
        <v>185682.84</v>
      </c>
      <c r="E278" s="1">
        <v>6368.37</v>
      </c>
      <c r="F278">
        <v>0</v>
      </c>
      <c r="G278" s="1">
        <v>26000</v>
      </c>
      <c r="H278" s="1">
        <v>41118.47</v>
      </c>
      <c r="I278" s="59" t="s">
        <v>2</v>
      </c>
    </row>
    <row r="279" spans="1:9" x14ac:dyDescent="0.2">
      <c r="A279">
        <v>110</v>
      </c>
      <c r="B279">
        <v>1746200</v>
      </c>
      <c r="C279">
        <v>0</v>
      </c>
      <c r="D279" s="1">
        <v>747855.06</v>
      </c>
      <c r="E279" s="1">
        <v>1043.3499999999999</v>
      </c>
      <c r="F279">
        <v>0</v>
      </c>
      <c r="G279" s="1">
        <v>10000</v>
      </c>
      <c r="H279" s="1">
        <v>15764.95</v>
      </c>
      <c r="I279" s="59" t="s">
        <v>2</v>
      </c>
    </row>
    <row r="280" spans="1:9" x14ac:dyDescent="0.2">
      <c r="A280">
        <v>110</v>
      </c>
      <c r="B280">
        <v>1761000</v>
      </c>
      <c r="C280">
        <v>0</v>
      </c>
      <c r="D280" s="1">
        <v>1605349.75</v>
      </c>
      <c r="E280">
        <v>0</v>
      </c>
      <c r="F280" s="1">
        <v>9942</v>
      </c>
      <c r="G280" s="1">
        <v>192000</v>
      </c>
      <c r="H280" s="1">
        <v>156118.20000000001</v>
      </c>
      <c r="I280" s="59" t="s">
        <v>2</v>
      </c>
    </row>
    <row r="281" spans="1:9" x14ac:dyDescent="0.2">
      <c r="A281">
        <v>110</v>
      </c>
      <c r="B281">
        <v>1764000</v>
      </c>
      <c r="C281">
        <v>0</v>
      </c>
      <c r="D281" s="1">
        <v>177030.49</v>
      </c>
      <c r="E281">
        <v>0</v>
      </c>
      <c r="F281">
        <v>76.5</v>
      </c>
      <c r="G281" s="1">
        <v>86000</v>
      </c>
      <c r="H281" s="1">
        <v>64365.42</v>
      </c>
      <c r="I281" s="59" t="s">
        <v>2</v>
      </c>
    </row>
    <row r="282" spans="1:9" x14ac:dyDescent="0.2">
      <c r="A282">
        <v>110</v>
      </c>
      <c r="B282">
        <v>1770000</v>
      </c>
      <c r="C282">
        <v>0</v>
      </c>
      <c r="D282" s="1">
        <v>287147.03999999998</v>
      </c>
      <c r="E282" s="1">
        <v>2860.2</v>
      </c>
      <c r="F282">
        <v>0</v>
      </c>
      <c r="G282" s="1">
        <v>5000</v>
      </c>
      <c r="H282" s="1">
        <v>4555.5</v>
      </c>
      <c r="I282" s="59" t="s">
        <v>2</v>
      </c>
    </row>
    <row r="283" spans="1:9" x14ac:dyDescent="0.2">
      <c r="A283">
        <v>110</v>
      </c>
      <c r="B283">
        <v>1781000</v>
      </c>
      <c r="C283">
        <v>0</v>
      </c>
      <c r="D283" s="1">
        <v>1761401.54</v>
      </c>
      <c r="E283">
        <v>0</v>
      </c>
      <c r="F283" s="1">
        <v>24736.16</v>
      </c>
      <c r="G283" s="1">
        <v>100000</v>
      </c>
      <c r="H283" s="1">
        <v>410775.1</v>
      </c>
      <c r="I283" s="59" t="s">
        <v>2</v>
      </c>
    </row>
    <row r="284" spans="1:9" x14ac:dyDescent="0.2">
      <c r="A284">
        <v>110</v>
      </c>
      <c r="B284">
        <v>1781100</v>
      </c>
      <c r="C284">
        <v>0</v>
      </c>
      <c r="D284" s="1">
        <v>1033283.9</v>
      </c>
      <c r="E284" s="1">
        <v>48550</v>
      </c>
      <c r="F284">
        <v>0</v>
      </c>
      <c r="G284" s="1">
        <v>110000</v>
      </c>
      <c r="H284" s="1">
        <v>100000</v>
      </c>
      <c r="I284" s="59" t="s">
        <v>2</v>
      </c>
    </row>
    <row r="285" spans="1:9" x14ac:dyDescent="0.2">
      <c r="A285">
        <v>110</v>
      </c>
      <c r="B285">
        <v>1811000</v>
      </c>
      <c r="C285">
        <v>0</v>
      </c>
      <c r="D285" s="1">
        <v>3279210.88</v>
      </c>
      <c r="E285">
        <v>0</v>
      </c>
      <c r="F285" s="1">
        <v>43244.79</v>
      </c>
      <c r="G285">
        <v>0</v>
      </c>
      <c r="H285">
        <v>0</v>
      </c>
      <c r="I285" s="59" t="s">
        <v>2</v>
      </c>
    </row>
    <row r="286" spans="1:9" x14ac:dyDescent="0.2">
      <c r="A286">
        <v>110</v>
      </c>
      <c r="B286">
        <v>1811100</v>
      </c>
      <c r="C286">
        <v>0</v>
      </c>
      <c r="D286" s="1">
        <v>20478.05</v>
      </c>
      <c r="E286" s="1">
        <v>65739</v>
      </c>
      <c r="F286">
        <v>0</v>
      </c>
      <c r="G286" s="1">
        <v>90000</v>
      </c>
      <c r="H286">
        <v>0</v>
      </c>
      <c r="I286" s="59" t="s">
        <v>2</v>
      </c>
    </row>
    <row r="287" spans="1:9" x14ac:dyDescent="0.2">
      <c r="A287">
        <v>110</v>
      </c>
      <c r="B287">
        <v>1811200</v>
      </c>
      <c r="C287">
        <v>0</v>
      </c>
      <c r="D287" s="1">
        <v>-16565</v>
      </c>
      <c r="E287">
        <v>0</v>
      </c>
      <c r="F287">
        <v>48.46</v>
      </c>
      <c r="G287" s="1">
        <v>2000</v>
      </c>
      <c r="H287">
        <v>450</v>
      </c>
      <c r="I287" s="59" t="s">
        <v>2</v>
      </c>
    </row>
    <row r="288" spans="1:9" x14ac:dyDescent="0.2">
      <c r="A288">
        <v>110</v>
      </c>
      <c r="B288">
        <v>1811300</v>
      </c>
      <c r="C288">
        <v>0</v>
      </c>
      <c r="D288" s="1">
        <v>53093.919999999998</v>
      </c>
      <c r="E288">
        <v>0</v>
      </c>
      <c r="F288" s="1">
        <v>2103.8200000000002</v>
      </c>
      <c r="G288">
        <v>0</v>
      </c>
      <c r="H288">
        <v>0</v>
      </c>
      <c r="I288" s="59" t="s">
        <v>2</v>
      </c>
    </row>
    <row r="289" spans="1:9" x14ac:dyDescent="0.2">
      <c r="A289">
        <v>110</v>
      </c>
      <c r="B289">
        <v>1812200</v>
      </c>
      <c r="C289">
        <v>0</v>
      </c>
      <c r="D289" s="1">
        <v>3668177.37</v>
      </c>
      <c r="E289">
        <v>0</v>
      </c>
      <c r="F289" s="1">
        <v>11899</v>
      </c>
      <c r="G289">
        <v>0</v>
      </c>
      <c r="H289">
        <v>0</v>
      </c>
      <c r="I289" s="59" t="s">
        <v>2</v>
      </c>
    </row>
    <row r="290" spans="1:9" x14ac:dyDescent="0.2">
      <c r="A290">
        <v>110</v>
      </c>
      <c r="B290">
        <v>1812210</v>
      </c>
      <c r="C290">
        <v>0</v>
      </c>
      <c r="D290" s="1">
        <v>2888221.68</v>
      </c>
      <c r="E290" s="1">
        <v>15911.1</v>
      </c>
      <c r="F290">
        <v>0</v>
      </c>
      <c r="G290" s="1">
        <v>70000</v>
      </c>
      <c r="H290">
        <v>0</v>
      </c>
      <c r="I290" s="59" t="s">
        <v>2</v>
      </c>
    </row>
    <row r="291" spans="1:9" x14ac:dyDescent="0.2">
      <c r="A291">
        <v>110</v>
      </c>
      <c r="B291">
        <v>1812300</v>
      </c>
      <c r="C291">
        <v>0</v>
      </c>
      <c r="D291" s="1">
        <v>5088338.76</v>
      </c>
      <c r="E291">
        <v>0</v>
      </c>
      <c r="F291" s="1">
        <v>79752.19</v>
      </c>
      <c r="G291">
        <v>0</v>
      </c>
      <c r="H291">
        <v>0</v>
      </c>
      <c r="I291" s="59" t="s">
        <v>2</v>
      </c>
    </row>
    <row r="292" spans="1:9" x14ac:dyDescent="0.2">
      <c r="A292">
        <v>110</v>
      </c>
      <c r="B292">
        <v>1812310</v>
      </c>
      <c r="C292">
        <v>0</v>
      </c>
      <c r="D292" s="1">
        <v>174547.41</v>
      </c>
      <c r="E292">
        <v>0</v>
      </c>
      <c r="F292" s="1">
        <v>3794.5</v>
      </c>
      <c r="G292" s="1">
        <v>25000</v>
      </c>
      <c r="H292">
        <v>0</v>
      </c>
      <c r="I292" s="59" t="s">
        <v>2</v>
      </c>
    </row>
    <row r="293" spans="1:9" x14ac:dyDescent="0.2">
      <c r="A293">
        <v>110</v>
      </c>
      <c r="B293">
        <v>1812400</v>
      </c>
      <c r="C293">
        <v>0</v>
      </c>
      <c r="D293" s="1">
        <v>701920.53</v>
      </c>
      <c r="E293" s="1">
        <v>6423.64</v>
      </c>
      <c r="F293">
        <v>0</v>
      </c>
      <c r="G293" s="1">
        <v>27000</v>
      </c>
      <c r="H293">
        <v>0</v>
      </c>
      <c r="I293" s="59" t="s">
        <v>2</v>
      </c>
    </row>
    <row r="294" spans="1:9" x14ac:dyDescent="0.2">
      <c r="A294">
        <v>110</v>
      </c>
      <c r="B294">
        <v>1812510</v>
      </c>
      <c r="C294">
        <v>0</v>
      </c>
      <c r="D294" s="1">
        <v>984488.17</v>
      </c>
      <c r="E294">
        <v>743</v>
      </c>
      <c r="F294">
        <v>0</v>
      </c>
      <c r="G294" s="1">
        <v>1000</v>
      </c>
      <c r="H294">
        <v>0</v>
      </c>
      <c r="I294" s="59" t="s">
        <v>2</v>
      </c>
    </row>
    <row r="295" spans="1:9" x14ac:dyDescent="0.2">
      <c r="A295">
        <v>110</v>
      </c>
      <c r="B295">
        <v>1812520</v>
      </c>
      <c r="C295">
        <v>0</v>
      </c>
      <c r="D295" s="1">
        <v>68248.14</v>
      </c>
      <c r="E295">
        <v>611.20000000000005</v>
      </c>
      <c r="F295">
        <v>0</v>
      </c>
      <c r="G295" s="1">
        <v>1000</v>
      </c>
      <c r="H295">
        <v>0</v>
      </c>
      <c r="I295" s="59" t="s">
        <v>2</v>
      </c>
    </row>
    <row r="296" spans="1:9" x14ac:dyDescent="0.2">
      <c r="A296">
        <v>110</v>
      </c>
      <c r="B296">
        <v>1812600</v>
      </c>
      <c r="C296">
        <v>0</v>
      </c>
      <c r="D296" s="1">
        <v>4034349.51</v>
      </c>
      <c r="E296">
        <v>0</v>
      </c>
      <c r="F296" s="1">
        <v>1222.4100000000001</v>
      </c>
      <c r="G296" s="1">
        <v>2000</v>
      </c>
      <c r="H296">
        <v>0</v>
      </c>
      <c r="I296" s="59" t="s">
        <v>2</v>
      </c>
    </row>
    <row r="297" spans="1:9" x14ac:dyDescent="0.2">
      <c r="A297">
        <v>110</v>
      </c>
      <c r="B297">
        <v>1812700</v>
      </c>
      <c r="C297">
        <v>0</v>
      </c>
      <c r="D297" s="1">
        <v>721201.53</v>
      </c>
      <c r="E297" s="1">
        <v>19606.849999999999</v>
      </c>
      <c r="F297">
        <v>0</v>
      </c>
      <c r="G297" s="1">
        <v>636000</v>
      </c>
      <c r="H297" s="1">
        <v>530509.9</v>
      </c>
      <c r="I297" s="59" t="s">
        <v>2</v>
      </c>
    </row>
    <row r="298" spans="1:9" x14ac:dyDescent="0.2">
      <c r="A298">
        <v>110</v>
      </c>
      <c r="B298">
        <v>1812800</v>
      </c>
      <c r="C298">
        <v>0</v>
      </c>
      <c r="D298" s="1">
        <v>2089839.29</v>
      </c>
      <c r="E298" s="1">
        <v>5141.0600000000004</v>
      </c>
      <c r="F298">
        <v>0</v>
      </c>
      <c r="G298" s="1">
        <v>1046000</v>
      </c>
      <c r="H298" s="1">
        <v>1195331.1200000001</v>
      </c>
      <c r="I298" s="59" t="s">
        <v>2</v>
      </c>
    </row>
    <row r="299" spans="1:9" x14ac:dyDescent="0.2">
      <c r="A299">
        <v>110</v>
      </c>
      <c r="B299">
        <v>1812900</v>
      </c>
      <c r="C299">
        <v>0</v>
      </c>
      <c r="D299" s="1">
        <v>1623487.47</v>
      </c>
      <c r="E299">
        <v>0</v>
      </c>
      <c r="F299" s="1">
        <v>1768.52</v>
      </c>
      <c r="G299" s="1">
        <v>75000</v>
      </c>
      <c r="H299" s="1">
        <v>113945.01</v>
      </c>
      <c r="I299" s="59" t="s">
        <v>2</v>
      </c>
    </row>
    <row r="300" spans="1:9" x14ac:dyDescent="0.2">
      <c r="A300">
        <v>110</v>
      </c>
      <c r="B300">
        <v>1812911</v>
      </c>
      <c r="C300">
        <v>0</v>
      </c>
      <c r="D300" s="1">
        <v>2294662.4</v>
      </c>
      <c r="E300" s="1">
        <v>37147.300000000003</v>
      </c>
      <c r="F300">
        <v>0</v>
      </c>
      <c r="G300" s="1">
        <v>1372000</v>
      </c>
      <c r="H300" s="1">
        <v>1336591.24</v>
      </c>
      <c r="I300" s="59" t="s">
        <v>2</v>
      </c>
    </row>
    <row r="301" spans="1:9" x14ac:dyDescent="0.2">
      <c r="A301">
        <v>110</v>
      </c>
      <c r="B301">
        <v>1812912</v>
      </c>
      <c r="C301">
        <v>0</v>
      </c>
      <c r="D301" s="1">
        <v>572867.21</v>
      </c>
      <c r="E301">
        <v>102.56</v>
      </c>
      <c r="F301">
        <v>0</v>
      </c>
      <c r="G301" s="1">
        <v>1000</v>
      </c>
      <c r="H301">
        <v>795.36</v>
      </c>
      <c r="I301" s="59" t="s">
        <v>2</v>
      </c>
    </row>
    <row r="302" spans="1:9" x14ac:dyDescent="0.2">
      <c r="A302">
        <v>110</v>
      </c>
      <c r="B302">
        <v>1813200</v>
      </c>
      <c r="C302">
        <v>0</v>
      </c>
      <c r="D302" s="1">
        <v>-24468.080000000002</v>
      </c>
      <c r="E302">
        <v>0</v>
      </c>
      <c r="F302" s="1">
        <v>5969.96</v>
      </c>
      <c r="G302" s="1">
        <v>4000</v>
      </c>
      <c r="H302" s="1">
        <v>4510.34</v>
      </c>
      <c r="I302" s="59" t="s">
        <v>2</v>
      </c>
    </row>
    <row r="303" spans="1:9" x14ac:dyDescent="0.2">
      <c r="A303">
        <v>110</v>
      </c>
      <c r="B303">
        <v>1813210</v>
      </c>
      <c r="C303">
        <v>0</v>
      </c>
      <c r="D303" s="1">
        <v>865403.52</v>
      </c>
      <c r="E303">
        <v>592.5</v>
      </c>
      <c r="F303">
        <v>0</v>
      </c>
      <c r="G303" s="1">
        <v>1000</v>
      </c>
      <c r="H303">
        <v>0</v>
      </c>
      <c r="I303" s="59" t="s">
        <v>2</v>
      </c>
    </row>
    <row r="304" spans="1:9" x14ac:dyDescent="0.2">
      <c r="A304">
        <v>110</v>
      </c>
      <c r="B304">
        <v>1813211</v>
      </c>
      <c r="C304">
        <v>0</v>
      </c>
      <c r="D304" s="1">
        <v>655159.17000000004</v>
      </c>
      <c r="E304">
        <v>0</v>
      </c>
      <c r="F304">
        <v>170</v>
      </c>
      <c r="G304" s="1">
        <v>1000</v>
      </c>
      <c r="H304" s="1">
        <v>1170</v>
      </c>
      <c r="I304" s="59" t="s">
        <v>2</v>
      </c>
    </row>
    <row r="305" spans="1:9" x14ac:dyDescent="0.2">
      <c r="A305">
        <v>110</v>
      </c>
      <c r="B305">
        <v>1813212</v>
      </c>
      <c r="C305">
        <v>0</v>
      </c>
      <c r="D305" s="1">
        <v>846033.09</v>
      </c>
      <c r="E305" s="1">
        <v>2389.9899999999998</v>
      </c>
      <c r="F305">
        <v>0</v>
      </c>
      <c r="G305" s="1">
        <v>7000</v>
      </c>
      <c r="H305" s="1">
        <v>7242.39</v>
      </c>
      <c r="I305" s="59" t="s">
        <v>2</v>
      </c>
    </row>
    <row r="306" spans="1:9" x14ac:dyDescent="0.2">
      <c r="A306">
        <v>110</v>
      </c>
      <c r="B306">
        <v>1813213</v>
      </c>
      <c r="C306">
        <v>0</v>
      </c>
      <c r="D306" s="1">
        <v>773649.36</v>
      </c>
      <c r="E306">
        <v>183.99</v>
      </c>
      <c r="F306">
        <v>0</v>
      </c>
      <c r="G306" s="1">
        <v>1000</v>
      </c>
      <c r="H306" s="1">
        <v>1106.22</v>
      </c>
      <c r="I306" s="59" t="s">
        <v>2</v>
      </c>
    </row>
    <row r="307" spans="1:9" x14ac:dyDescent="0.2">
      <c r="A307">
        <v>110</v>
      </c>
      <c r="B307">
        <v>1813214</v>
      </c>
      <c r="C307">
        <v>0</v>
      </c>
      <c r="D307" s="1">
        <v>589890.87</v>
      </c>
      <c r="E307">
        <v>0</v>
      </c>
      <c r="F307" s="1">
        <v>3539.02</v>
      </c>
      <c r="G307" s="1">
        <v>53000</v>
      </c>
      <c r="H307" s="1">
        <v>52410.61</v>
      </c>
      <c r="I307" s="59" t="s">
        <v>2</v>
      </c>
    </row>
    <row r="308" spans="1:9" x14ac:dyDescent="0.2">
      <c r="A308">
        <v>110</v>
      </c>
      <c r="B308">
        <v>1813215</v>
      </c>
      <c r="C308">
        <v>0</v>
      </c>
      <c r="D308" s="1">
        <v>598221.4</v>
      </c>
      <c r="E308">
        <v>0</v>
      </c>
      <c r="F308">
        <v>150</v>
      </c>
      <c r="G308">
        <v>0</v>
      </c>
      <c r="H308">
        <v>0</v>
      </c>
      <c r="I308" s="59" t="s">
        <v>2</v>
      </c>
    </row>
    <row r="309" spans="1:9" x14ac:dyDescent="0.2">
      <c r="A309">
        <v>110</v>
      </c>
      <c r="B309">
        <v>1813216</v>
      </c>
      <c r="C309">
        <v>0</v>
      </c>
      <c r="D309" s="1">
        <v>532655.57999999996</v>
      </c>
      <c r="E309" s="1">
        <v>8910.16</v>
      </c>
      <c r="F309">
        <v>0</v>
      </c>
      <c r="G309" s="1">
        <v>600000</v>
      </c>
      <c r="H309" s="1">
        <v>626395.81000000006</v>
      </c>
      <c r="I309" s="59" t="s">
        <v>2</v>
      </c>
    </row>
    <row r="310" spans="1:9" x14ac:dyDescent="0.2">
      <c r="A310">
        <v>110</v>
      </c>
      <c r="B310">
        <v>1813218</v>
      </c>
      <c r="C310">
        <v>0</v>
      </c>
      <c r="D310" s="1">
        <v>937057</v>
      </c>
      <c r="E310">
        <v>0</v>
      </c>
      <c r="F310">
        <v>0</v>
      </c>
      <c r="G310">
        <v>0</v>
      </c>
      <c r="H310" s="1">
        <v>6178</v>
      </c>
      <c r="I310" s="59" t="s">
        <v>2</v>
      </c>
    </row>
    <row r="311" spans="1:9" x14ac:dyDescent="0.2">
      <c r="A311">
        <v>110</v>
      </c>
      <c r="B311">
        <v>1813219</v>
      </c>
      <c r="C311">
        <v>0</v>
      </c>
      <c r="D311" s="1">
        <v>396611.14</v>
      </c>
      <c r="E311">
        <v>0</v>
      </c>
      <c r="F311">
        <v>0</v>
      </c>
      <c r="G311">
        <v>0</v>
      </c>
      <c r="H311" s="1">
        <v>2988</v>
      </c>
      <c r="I311" s="59" t="s">
        <v>2</v>
      </c>
    </row>
    <row r="312" spans="1:9" x14ac:dyDescent="0.2">
      <c r="A312">
        <v>110</v>
      </c>
      <c r="B312">
        <v>1813220</v>
      </c>
      <c r="C312">
        <v>0</v>
      </c>
      <c r="D312" s="1">
        <v>784916.31</v>
      </c>
      <c r="E312" s="1">
        <v>1805.44</v>
      </c>
      <c r="F312">
        <v>0</v>
      </c>
      <c r="G312" s="1">
        <v>35000</v>
      </c>
      <c r="H312" s="1">
        <v>45474.25</v>
      </c>
      <c r="I312" s="59" t="s">
        <v>2</v>
      </c>
    </row>
    <row r="313" spans="1:9" x14ac:dyDescent="0.2">
      <c r="A313">
        <v>110</v>
      </c>
      <c r="B313">
        <v>1813221</v>
      </c>
      <c r="C313">
        <v>0</v>
      </c>
      <c r="D313" s="1">
        <v>102204.38</v>
      </c>
      <c r="E313" s="1">
        <v>1986.3</v>
      </c>
      <c r="F313">
        <v>0</v>
      </c>
      <c r="G313" s="1">
        <v>3000</v>
      </c>
      <c r="H313" s="1">
        <v>1372.3</v>
      </c>
      <c r="I313" s="59" t="s">
        <v>2</v>
      </c>
    </row>
    <row r="314" spans="1:9" x14ac:dyDescent="0.2">
      <c r="A314">
        <v>110</v>
      </c>
      <c r="B314">
        <v>1813222</v>
      </c>
      <c r="C314">
        <v>0</v>
      </c>
      <c r="D314" s="1">
        <v>242589.85</v>
      </c>
      <c r="E314">
        <v>0</v>
      </c>
      <c r="F314">
        <v>0</v>
      </c>
      <c r="G314">
        <v>0</v>
      </c>
      <c r="H314">
        <v>936</v>
      </c>
      <c r="I314" s="59" t="s">
        <v>2</v>
      </c>
    </row>
    <row r="315" spans="1:9" x14ac:dyDescent="0.2">
      <c r="A315">
        <v>110</v>
      </c>
      <c r="B315">
        <v>1813223</v>
      </c>
      <c r="C315">
        <v>0</v>
      </c>
      <c r="D315" s="1">
        <v>188524.09</v>
      </c>
      <c r="E315" s="1">
        <v>3923.92</v>
      </c>
      <c r="F315">
        <v>0</v>
      </c>
      <c r="G315" s="1">
        <v>15000</v>
      </c>
      <c r="H315" s="1">
        <v>16483.419999999998</v>
      </c>
      <c r="I315" s="59" t="s">
        <v>2</v>
      </c>
    </row>
    <row r="316" spans="1:9" x14ac:dyDescent="0.2">
      <c r="A316">
        <v>110</v>
      </c>
      <c r="B316">
        <v>1813224</v>
      </c>
      <c r="C316">
        <v>0</v>
      </c>
      <c r="D316" s="1">
        <v>271570.82</v>
      </c>
      <c r="E316">
        <v>460.69</v>
      </c>
      <c r="F316">
        <v>0</v>
      </c>
      <c r="G316" s="1">
        <v>1000</v>
      </c>
      <c r="H316" s="1">
        <v>1322.92</v>
      </c>
      <c r="I316" s="59" t="s">
        <v>2</v>
      </c>
    </row>
    <row r="317" spans="1:9" x14ac:dyDescent="0.2">
      <c r="A317">
        <v>110</v>
      </c>
      <c r="B317">
        <v>1813225</v>
      </c>
      <c r="C317">
        <v>0</v>
      </c>
      <c r="D317" s="1">
        <v>403272.54</v>
      </c>
      <c r="E317">
        <v>0</v>
      </c>
      <c r="F317" s="1">
        <v>2945.81</v>
      </c>
      <c r="G317" s="1">
        <v>45000</v>
      </c>
      <c r="H317" s="1">
        <v>44358.73</v>
      </c>
      <c r="I317" s="59" t="s">
        <v>2</v>
      </c>
    </row>
    <row r="318" spans="1:9" x14ac:dyDescent="0.2">
      <c r="A318">
        <v>110</v>
      </c>
      <c r="B318">
        <v>1813226</v>
      </c>
      <c r="C318">
        <v>0</v>
      </c>
      <c r="D318" s="1">
        <v>462002.67</v>
      </c>
      <c r="E318">
        <v>14</v>
      </c>
      <c r="F318">
        <v>0</v>
      </c>
      <c r="G318" s="1">
        <v>153000</v>
      </c>
      <c r="H318" s="1">
        <v>68164</v>
      </c>
      <c r="I318" s="59" t="s">
        <v>2</v>
      </c>
    </row>
    <row r="319" spans="1:9" x14ac:dyDescent="0.2">
      <c r="A319">
        <v>110</v>
      </c>
      <c r="B319">
        <v>1813300</v>
      </c>
      <c r="C319">
        <v>0</v>
      </c>
      <c r="D319" s="1">
        <v>3113221.51</v>
      </c>
      <c r="E319" s="1">
        <v>7869.46</v>
      </c>
      <c r="F319">
        <v>0</v>
      </c>
      <c r="G319" s="1">
        <v>35000</v>
      </c>
      <c r="H319" s="1">
        <v>11047.45</v>
      </c>
      <c r="I319" s="59" t="s">
        <v>2</v>
      </c>
    </row>
    <row r="320" spans="1:9" x14ac:dyDescent="0.2">
      <c r="A320">
        <v>110</v>
      </c>
      <c r="B320">
        <v>1813400</v>
      </c>
      <c r="C320">
        <v>0</v>
      </c>
      <c r="D320" s="1">
        <v>6716094.8499999996</v>
      </c>
      <c r="E320" s="1">
        <v>38240.089999999997</v>
      </c>
      <c r="F320">
        <v>0</v>
      </c>
      <c r="G320" s="1">
        <v>1805000</v>
      </c>
      <c r="H320" s="1">
        <v>1976768.61</v>
      </c>
      <c r="I320" s="59" t="s">
        <v>2</v>
      </c>
    </row>
    <row r="321" spans="1:9" x14ac:dyDescent="0.2">
      <c r="A321">
        <v>110</v>
      </c>
      <c r="B321">
        <v>1813500</v>
      </c>
      <c r="C321">
        <v>0</v>
      </c>
      <c r="D321" s="1">
        <v>4855030.92</v>
      </c>
      <c r="E321">
        <v>0</v>
      </c>
      <c r="F321">
        <v>0</v>
      </c>
      <c r="G321">
        <v>0</v>
      </c>
      <c r="H321" s="1">
        <v>7681</v>
      </c>
      <c r="I321" s="59" t="s">
        <v>2</v>
      </c>
    </row>
    <row r="322" spans="1:9" x14ac:dyDescent="0.2">
      <c r="A322">
        <v>110</v>
      </c>
      <c r="B322">
        <v>1813600</v>
      </c>
      <c r="C322">
        <v>0</v>
      </c>
      <c r="D322" s="1">
        <v>1092887.6599999999</v>
      </c>
      <c r="E322">
        <v>0</v>
      </c>
      <c r="F322">
        <v>769</v>
      </c>
      <c r="G322" s="1">
        <v>1000</v>
      </c>
      <c r="H322">
        <v>0</v>
      </c>
      <c r="I322" s="59" t="s">
        <v>2</v>
      </c>
    </row>
    <row r="323" spans="1:9" x14ac:dyDescent="0.2">
      <c r="A323">
        <v>110</v>
      </c>
      <c r="B323">
        <v>1813700</v>
      </c>
      <c r="C323">
        <v>0</v>
      </c>
      <c r="D323" s="1">
        <v>319995.33</v>
      </c>
      <c r="E323">
        <v>0</v>
      </c>
      <c r="F323">
        <v>752</v>
      </c>
      <c r="G323">
        <v>0</v>
      </c>
      <c r="H323">
        <v>0</v>
      </c>
      <c r="I323" s="59" t="s">
        <v>2</v>
      </c>
    </row>
    <row r="324" spans="1:9" x14ac:dyDescent="0.2">
      <c r="A324">
        <v>110</v>
      </c>
      <c r="B324">
        <v>1817100</v>
      </c>
      <c r="C324">
        <v>0</v>
      </c>
      <c r="D324" s="1">
        <v>265011.82</v>
      </c>
      <c r="E324">
        <v>0</v>
      </c>
      <c r="F324" s="1">
        <v>2649.4</v>
      </c>
      <c r="G324">
        <v>0</v>
      </c>
      <c r="H324">
        <v>0</v>
      </c>
      <c r="I324" s="59" t="s">
        <v>2</v>
      </c>
    </row>
    <row r="325" spans="1:9" x14ac:dyDescent="0.2">
      <c r="A325">
        <v>110</v>
      </c>
      <c r="B325">
        <v>1817200</v>
      </c>
      <c r="C325">
        <v>0</v>
      </c>
      <c r="D325" s="1">
        <v>509583.31</v>
      </c>
      <c r="E325" s="1">
        <v>87607.16</v>
      </c>
      <c r="F325">
        <v>0</v>
      </c>
      <c r="G325" s="1">
        <v>1287000</v>
      </c>
      <c r="H325" s="1">
        <v>1288837.19</v>
      </c>
      <c r="I325" s="59" t="s">
        <v>2</v>
      </c>
    </row>
    <row r="326" spans="1:9" x14ac:dyDescent="0.2">
      <c r="A326">
        <v>110</v>
      </c>
      <c r="B326">
        <v>1817300</v>
      </c>
      <c r="C326">
        <v>0</v>
      </c>
      <c r="D326" s="1">
        <v>3120511.16</v>
      </c>
      <c r="E326">
        <v>0</v>
      </c>
      <c r="F326" s="1">
        <v>30725</v>
      </c>
      <c r="G326">
        <v>0</v>
      </c>
      <c r="H326">
        <v>0</v>
      </c>
      <c r="I326" s="59" t="s">
        <v>2</v>
      </c>
    </row>
    <row r="327" spans="1:9" x14ac:dyDescent="0.2">
      <c r="A327">
        <v>110</v>
      </c>
      <c r="B327">
        <v>1817700</v>
      </c>
      <c r="C327">
        <v>0</v>
      </c>
      <c r="D327" s="1">
        <v>822963.02</v>
      </c>
      <c r="E327" s="1">
        <v>1078.8</v>
      </c>
      <c r="F327">
        <v>0</v>
      </c>
      <c r="G327" s="1">
        <v>18000</v>
      </c>
      <c r="H327" s="1">
        <v>16032.65</v>
      </c>
      <c r="I327" s="59" t="s">
        <v>2</v>
      </c>
    </row>
    <row r="328" spans="1:9" x14ac:dyDescent="0.2">
      <c r="A328">
        <v>110</v>
      </c>
      <c r="B328">
        <v>1817900</v>
      </c>
      <c r="C328">
        <v>0</v>
      </c>
      <c r="D328" s="1">
        <v>239729.53</v>
      </c>
      <c r="E328">
        <v>584.91</v>
      </c>
      <c r="F328">
        <v>0</v>
      </c>
      <c r="G328" s="1">
        <v>1000</v>
      </c>
      <c r="H328">
        <v>308.8</v>
      </c>
      <c r="I328" s="59" t="s">
        <v>2</v>
      </c>
    </row>
    <row r="329" spans="1:9" x14ac:dyDescent="0.2">
      <c r="A329">
        <v>110</v>
      </c>
      <c r="B329">
        <v>1817910</v>
      </c>
      <c r="C329">
        <v>0</v>
      </c>
      <c r="D329" s="1">
        <v>1393614.59</v>
      </c>
      <c r="E329" s="1">
        <v>338798.48</v>
      </c>
      <c r="F329">
        <v>0</v>
      </c>
      <c r="G329" s="1">
        <v>427000</v>
      </c>
      <c r="H329" s="1">
        <v>341106.94</v>
      </c>
      <c r="I329" s="59" t="s">
        <v>2</v>
      </c>
    </row>
    <row r="330" spans="1:9" x14ac:dyDescent="0.2">
      <c r="A330">
        <v>110</v>
      </c>
      <c r="B330">
        <v>1817911</v>
      </c>
      <c r="C330">
        <v>0</v>
      </c>
      <c r="D330" s="1">
        <v>188104.16</v>
      </c>
      <c r="E330">
        <v>19.399999999999999</v>
      </c>
      <c r="F330">
        <v>0</v>
      </c>
      <c r="G330" s="1">
        <v>5000</v>
      </c>
      <c r="H330" s="1">
        <v>6432.45</v>
      </c>
      <c r="I330" s="59" t="s">
        <v>2</v>
      </c>
    </row>
    <row r="331" spans="1:9" x14ac:dyDescent="0.2">
      <c r="A331">
        <v>110</v>
      </c>
      <c r="B331">
        <v>1817912</v>
      </c>
      <c r="C331">
        <v>0</v>
      </c>
      <c r="D331" s="1">
        <v>67509.27</v>
      </c>
      <c r="E331" s="1">
        <v>1100</v>
      </c>
      <c r="F331">
        <v>0</v>
      </c>
      <c r="G331" s="1">
        <v>2000</v>
      </c>
      <c r="H331">
        <v>0</v>
      </c>
      <c r="I331" s="59" t="s">
        <v>2</v>
      </c>
    </row>
    <row r="332" spans="1:9" x14ac:dyDescent="0.2">
      <c r="A332">
        <v>110</v>
      </c>
      <c r="B332">
        <v>1821000</v>
      </c>
      <c r="C332">
        <v>0</v>
      </c>
      <c r="D332" s="1">
        <v>962050.3</v>
      </c>
      <c r="E332" s="1">
        <v>8236.1200000000008</v>
      </c>
      <c r="F332">
        <v>0</v>
      </c>
      <c r="G332" s="1">
        <v>734000</v>
      </c>
      <c r="H332" s="1">
        <v>746678.56</v>
      </c>
      <c r="I332" s="59" t="s">
        <v>2</v>
      </c>
    </row>
    <row r="333" spans="1:9" x14ac:dyDescent="0.2">
      <c r="A333">
        <v>110</v>
      </c>
      <c r="B333">
        <v>1823000</v>
      </c>
      <c r="C333">
        <v>0</v>
      </c>
      <c r="D333" s="1">
        <v>1287618.69</v>
      </c>
      <c r="E333">
        <v>0</v>
      </c>
      <c r="F333" s="1">
        <v>1473.55</v>
      </c>
      <c r="G333" s="1">
        <v>25000</v>
      </c>
      <c r="H333" s="1">
        <v>19270.64</v>
      </c>
      <c r="I333" s="59" t="s">
        <v>2</v>
      </c>
    </row>
    <row r="334" spans="1:9" x14ac:dyDescent="0.2">
      <c r="A334">
        <v>110</v>
      </c>
      <c r="B334">
        <v>1824000</v>
      </c>
      <c r="C334">
        <v>0</v>
      </c>
      <c r="D334" s="1">
        <v>334716.34000000003</v>
      </c>
      <c r="E334">
        <v>920.6</v>
      </c>
      <c r="F334">
        <v>0</v>
      </c>
      <c r="G334" s="1">
        <v>1000</v>
      </c>
      <c r="H334">
        <v>90</v>
      </c>
      <c r="I334" s="59" t="s">
        <v>2</v>
      </c>
    </row>
    <row r="335" spans="1:9" x14ac:dyDescent="0.2">
      <c r="A335">
        <v>110</v>
      </c>
      <c r="B335">
        <v>1825000</v>
      </c>
      <c r="C335">
        <v>0</v>
      </c>
      <c r="D335" s="1">
        <v>518226.11</v>
      </c>
      <c r="E335">
        <v>0</v>
      </c>
      <c r="F335" s="1">
        <v>450415.16</v>
      </c>
      <c r="G335" s="1">
        <v>673000</v>
      </c>
      <c r="H335" s="1">
        <v>935979.25</v>
      </c>
      <c r="I335" s="59" t="s">
        <v>2</v>
      </c>
    </row>
    <row r="336" spans="1:9" x14ac:dyDescent="0.2">
      <c r="A336">
        <v>110</v>
      </c>
      <c r="B336">
        <v>1825110</v>
      </c>
      <c r="C336">
        <v>0</v>
      </c>
      <c r="D336" s="1">
        <v>3500</v>
      </c>
      <c r="E336">
        <v>0</v>
      </c>
      <c r="F336" s="1">
        <v>299609.7</v>
      </c>
      <c r="G336" s="1">
        <v>564000</v>
      </c>
      <c r="H336" s="1">
        <v>557518.18999999994</v>
      </c>
      <c r="I336" s="59" t="s">
        <v>2</v>
      </c>
    </row>
    <row r="337" spans="1:9" x14ac:dyDescent="0.2">
      <c r="A337">
        <v>110</v>
      </c>
      <c r="B337">
        <v>1829200</v>
      </c>
      <c r="C337">
        <v>0</v>
      </c>
      <c r="D337" s="1">
        <v>1116802.3899999999</v>
      </c>
      <c r="E337" s="1">
        <v>2160.8000000000002</v>
      </c>
      <c r="F337">
        <v>0</v>
      </c>
      <c r="G337" s="1">
        <v>3000</v>
      </c>
      <c r="H337" s="1">
        <v>12741.39</v>
      </c>
      <c r="I337" s="59" t="s">
        <v>2</v>
      </c>
    </row>
    <row r="338" spans="1:9" x14ac:dyDescent="0.2">
      <c r="A338">
        <v>110</v>
      </c>
      <c r="B338">
        <v>1841000</v>
      </c>
      <c r="C338">
        <v>0</v>
      </c>
      <c r="D338" s="1">
        <v>12524034.49</v>
      </c>
      <c r="E338" s="1">
        <v>7505.48</v>
      </c>
      <c r="F338">
        <v>0</v>
      </c>
      <c r="G338" s="1">
        <v>1663000</v>
      </c>
      <c r="H338" s="1">
        <v>2476985.6</v>
      </c>
      <c r="I338" s="59" t="s">
        <v>2</v>
      </c>
    </row>
    <row r="339" spans="1:9" x14ac:dyDescent="0.2">
      <c r="A339">
        <v>110</v>
      </c>
      <c r="B339">
        <v>1869000</v>
      </c>
      <c r="C339">
        <v>0</v>
      </c>
      <c r="D339" s="1">
        <v>2517647.8199999998</v>
      </c>
      <c r="E339" s="1">
        <v>23236.12</v>
      </c>
      <c r="F339">
        <v>0</v>
      </c>
      <c r="G339" s="1">
        <v>40000</v>
      </c>
      <c r="H339" s="1">
        <v>80310.33</v>
      </c>
      <c r="I339" s="59" t="s">
        <v>2</v>
      </c>
    </row>
    <row r="340" spans="1:9" x14ac:dyDescent="0.2">
      <c r="A340">
        <v>110</v>
      </c>
      <c r="B340">
        <v>1869100</v>
      </c>
      <c r="C340">
        <v>0</v>
      </c>
      <c r="D340" s="1">
        <v>242216.92</v>
      </c>
      <c r="E340">
        <v>0</v>
      </c>
      <c r="F340" s="1">
        <v>33345</v>
      </c>
      <c r="G340">
        <v>0</v>
      </c>
      <c r="H340">
        <v>0</v>
      </c>
      <c r="I340" s="59" t="s">
        <v>2</v>
      </c>
    </row>
    <row r="341" spans="1:9" x14ac:dyDescent="0.2">
      <c r="A341">
        <v>110</v>
      </c>
      <c r="B341">
        <v>1931000</v>
      </c>
      <c r="C341">
        <v>0</v>
      </c>
      <c r="D341" s="1">
        <v>198771.56</v>
      </c>
      <c r="E341" s="1">
        <v>30299.65</v>
      </c>
      <c r="F341">
        <v>0</v>
      </c>
      <c r="G341" s="1">
        <v>1156000</v>
      </c>
      <c r="H341" s="1">
        <v>599405</v>
      </c>
      <c r="I341" s="59" t="s">
        <v>2</v>
      </c>
    </row>
    <row r="342" spans="1:9" x14ac:dyDescent="0.2">
      <c r="A342">
        <v>110</v>
      </c>
      <c r="B342">
        <v>1931100</v>
      </c>
      <c r="C342">
        <v>0</v>
      </c>
      <c r="D342" s="1">
        <v>1425757.24</v>
      </c>
      <c r="E342" s="1">
        <v>2732.68</v>
      </c>
      <c r="F342">
        <v>0</v>
      </c>
      <c r="G342" s="1">
        <v>13000</v>
      </c>
      <c r="H342">
        <v>0</v>
      </c>
      <c r="I342" s="59" t="s">
        <v>2</v>
      </c>
    </row>
    <row r="343" spans="1:9" x14ac:dyDescent="0.2">
      <c r="A343">
        <v>110</v>
      </c>
      <c r="B343">
        <v>1938000</v>
      </c>
      <c r="C343">
        <v>0</v>
      </c>
      <c r="D343" s="1">
        <v>1516832.1</v>
      </c>
      <c r="E343">
        <v>304.8</v>
      </c>
      <c r="F343">
        <v>0</v>
      </c>
      <c r="G343" s="1">
        <v>5000</v>
      </c>
      <c r="H343">
        <v>0</v>
      </c>
      <c r="I343" s="59" t="s">
        <v>2</v>
      </c>
    </row>
    <row r="344" spans="1:9" x14ac:dyDescent="0.2">
      <c r="A344">
        <v>110</v>
      </c>
      <c r="B344">
        <v>1943000</v>
      </c>
      <c r="C344">
        <v>0</v>
      </c>
      <c r="D344" s="1">
        <v>797273.61</v>
      </c>
      <c r="E344">
        <v>838.54</v>
      </c>
      <c r="F344">
        <v>0</v>
      </c>
      <c r="G344" s="1">
        <v>7000</v>
      </c>
      <c r="H344">
        <v>0</v>
      </c>
      <c r="I344" s="59" t="s">
        <v>2</v>
      </c>
    </row>
    <row r="345" spans="1:9" x14ac:dyDescent="0.2">
      <c r="A345">
        <v>140</v>
      </c>
      <c r="B345">
        <v>1721100</v>
      </c>
      <c r="C345">
        <v>0</v>
      </c>
      <c r="D345" s="1">
        <v>-7020</v>
      </c>
      <c r="E345" s="1">
        <v>1298.8599999999999</v>
      </c>
      <c r="F345">
        <v>0</v>
      </c>
      <c r="G345" s="1">
        <v>5000</v>
      </c>
      <c r="H345">
        <v>0</v>
      </c>
      <c r="I345" s="59" t="s">
        <v>2</v>
      </c>
    </row>
    <row r="346" spans="1:9" x14ac:dyDescent="0.2">
      <c r="A346">
        <v>300</v>
      </c>
      <c r="B346">
        <v>1712300</v>
      </c>
      <c r="C346">
        <v>0</v>
      </c>
      <c r="D346">
        <v>378.18</v>
      </c>
      <c r="E346">
        <v>0</v>
      </c>
      <c r="F346" s="1">
        <v>16354.99</v>
      </c>
      <c r="G346" s="1">
        <v>130000</v>
      </c>
      <c r="H346" s="1">
        <v>96119.91</v>
      </c>
      <c r="I346" s="59" t="s">
        <v>2</v>
      </c>
    </row>
    <row r="347" spans="1:9" x14ac:dyDescent="0.2">
      <c r="A347">
        <v>300</v>
      </c>
      <c r="B347">
        <v>1714000</v>
      </c>
      <c r="C347">
        <v>0</v>
      </c>
      <c r="D347" s="1">
        <v>1576.62</v>
      </c>
      <c r="E347">
        <v>0</v>
      </c>
      <c r="F347" s="1">
        <v>44416.15</v>
      </c>
      <c r="G347" s="1">
        <v>834000</v>
      </c>
      <c r="H347" s="1">
        <v>1299231.96</v>
      </c>
      <c r="I347" s="59" t="s">
        <v>2</v>
      </c>
    </row>
    <row r="348" spans="1:9" x14ac:dyDescent="0.2">
      <c r="A348">
        <v>300</v>
      </c>
      <c r="B348">
        <v>1746000</v>
      </c>
      <c r="C348">
        <v>0</v>
      </c>
      <c r="D348">
        <v>100.5</v>
      </c>
      <c r="E348">
        <v>0</v>
      </c>
      <c r="F348" s="1">
        <v>379911.86</v>
      </c>
      <c r="G348">
        <v>0</v>
      </c>
      <c r="H348" s="1">
        <v>384992.5</v>
      </c>
      <c r="I348" s="59" t="s">
        <v>2</v>
      </c>
    </row>
    <row r="349" spans="1:9" x14ac:dyDescent="0.2">
      <c r="A349">
        <v>300</v>
      </c>
      <c r="B349">
        <v>1999000</v>
      </c>
      <c r="C349">
        <v>0</v>
      </c>
      <c r="D349" s="1">
        <v>27037254.32</v>
      </c>
      <c r="E349" s="1">
        <v>80590.350000000006</v>
      </c>
      <c r="F349">
        <v>0</v>
      </c>
      <c r="G349" s="1">
        <v>838000</v>
      </c>
      <c r="H349" s="1">
        <v>846798.08</v>
      </c>
      <c r="I349" s="59" t="s">
        <v>2</v>
      </c>
    </row>
    <row r="350" spans="1:9" x14ac:dyDescent="0.2">
      <c r="A350">
        <v>300</v>
      </c>
      <c r="B350">
        <v>1999200</v>
      </c>
      <c r="C350">
        <v>0</v>
      </c>
      <c r="D350" s="1">
        <v>150166.29999999999</v>
      </c>
      <c r="E350" s="1">
        <v>417185.76</v>
      </c>
      <c r="F350">
        <v>0</v>
      </c>
      <c r="G350" s="1">
        <v>620000</v>
      </c>
      <c r="H350" s="1">
        <v>891854.35</v>
      </c>
      <c r="I350" s="59" t="s">
        <v>2</v>
      </c>
    </row>
    <row r="351" spans="1:9" x14ac:dyDescent="0.2">
      <c r="A351">
        <v>300</v>
      </c>
      <c r="B351">
        <v>1999999</v>
      </c>
      <c r="C351">
        <v>0</v>
      </c>
      <c r="D351" s="1">
        <v>23575.53</v>
      </c>
      <c r="E351">
        <v>0</v>
      </c>
      <c r="F351" s="1">
        <v>602795.17000000004</v>
      </c>
      <c r="G351" s="1">
        <v>2152000</v>
      </c>
      <c r="H351" s="1">
        <v>12520548.18</v>
      </c>
      <c r="I351" s="59" t="s">
        <v>2</v>
      </c>
    </row>
    <row r="352" spans="1:9" x14ac:dyDescent="0.2">
      <c r="A352">
        <v>310</v>
      </c>
      <c r="B352">
        <v>1999000</v>
      </c>
      <c r="C352">
        <v>0</v>
      </c>
      <c r="D352" s="1">
        <v>221107.91</v>
      </c>
      <c r="E352">
        <v>0</v>
      </c>
      <c r="F352" s="1">
        <v>207274.53</v>
      </c>
      <c r="G352" s="1">
        <v>296000</v>
      </c>
      <c r="H352" s="1">
        <v>492808.37</v>
      </c>
      <c r="I352" s="59" t="s">
        <v>2</v>
      </c>
    </row>
    <row r="353" spans="1:9" x14ac:dyDescent="0.2">
      <c r="A353">
        <v>320</v>
      </c>
      <c r="B353">
        <v>1613000</v>
      </c>
      <c r="C353">
        <v>0</v>
      </c>
      <c r="D353" s="1">
        <v>9901.18</v>
      </c>
      <c r="E353" s="1">
        <v>166651.42000000001</v>
      </c>
      <c r="F353">
        <v>0</v>
      </c>
      <c r="G353" s="1">
        <v>178000</v>
      </c>
      <c r="H353" s="1">
        <v>66448.09</v>
      </c>
      <c r="I353" s="59" t="s">
        <v>2</v>
      </c>
    </row>
    <row r="354" spans="1:9" x14ac:dyDescent="0.2">
      <c r="A354">
        <v>320</v>
      </c>
      <c r="B354">
        <v>1621300</v>
      </c>
      <c r="C354">
        <v>0</v>
      </c>
      <c r="D354" s="1">
        <v>30725</v>
      </c>
      <c r="E354" s="1">
        <v>6212.38</v>
      </c>
      <c r="F354">
        <v>0</v>
      </c>
      <c r="G354" s="1">
        <v>2552000</v>
      </c>
      <c r="H354" s="1">
        <v>2252894.0699999998</v>
      </c>
      <c r="I354" s="59" t="s">
        <v>2</v>
      </c>
    </row>
    <row r="355" spans="1:9" x14ac:dyDescent="0.2">
      <c r="A355">
        <v>320</v>
      </c>
      <c r="B355">
        <v>1712200</v>
      </c>
      <c r="C355">
        <v>0</v>
      </c>
      <c r="D355" s="1">
        <v>75745.179999999993</v>
      </c>
      <c r="E355" s="1">
        <v>2000</v>
      </c>
      <c r="F355">
        <v>0</v>
      </c>
      <c r="G355" s="1">
        <v>2000</v>
      </c>
      <c r="H355" s="1">
        <v>3699</v>
      </c>
      <c r="I355" s="59" t="s">
        <v>2</v>
      </c>
    </row>
    <row r="356" spans="1:9" x14ac:dyDescent="0.2">
      <c r="A356">
        <v>320</v>
      </c>
      <c r="B356">
        <v>1712300</v>
      </c>
      <c r="C356">
        <v>0</v>
      </c>
      <c r="D356" s="1">
        <v>1337.56</v>
      </c>
      <c r="E356">
        <v>0</v>
      </c>
      <c r="F356" s="1">
        <v>26971.23</v>
      </c>
      <c r="G356" s="1">
        <v>220000</v>
      </c>
      <c r="H356" s="1">
        <v>168518.28</v>
      </c>
      <c r="I356" s="59" t="s">
        <v>2</v>
      </c>
    </row>
    <row r="357" spans="1:9" x14ac:dyDescent="0.2">
      <c r="A357">
        <v>320</v>
      </c>
      <c r="B357">
        <v>1746000</v>
      </c>
      <c r="C357">
        <v>0</v>
      </c>
      <c r="D357" s="1">
        <v>5838.38</v>
      </c>
      <c r="E357">
        <v>56.28</v>
      </c>
      <c r="F357">
        <v>0</v>
      </c>
      <c r="G357" s="1">
        <v>2000</v>
      </c>
      <c r="H357" s="1">
        <v>9928.4</v>
      </c>
      <c r="I357" s="59" t="s">
        <v>2</v>
      </c>
    </row>
    <row r="358" spans="1:9" x14ac:dyDescent="0.2">
      <c r="A358">
        <v>320</v>
      </c>
      <c r="B358">
        <v>1761000</v>
      </c>
      <c r="C358">
        <v>0</v>
      </c>
      <c r="D358" s="1">
        <v>2244</v>
      </c>
      <c r="E358">
        <v>438</v>
      </c>
      <c r="F358">
        <v>0</v>
      </c>
      <c r="G358" s="1">
        <v>140000</v>
      </c>
      <c r="H358" s="1">
        <v>155952.59</v>
      </c>
      <c r="I358" s="59" t="s">
        <v>2</v>
      </c>
    </row>
    <row r="359" spans="1:9" x14ac:dyDescent="0.2">
      <c r="A359">
        <v>320</v>
      </c>
      <c r="B359">
        <v>1811000</v>
      </c>
      <c r="C359">
        <v>0</v>
      </c>
      <c r="D359" s="1">
        <v>66109</v>
      </c>
      <c r="E359">
        <v>725.5</v>
      </c>
      <c r="F359">
        <v>0</v>
      </c>
      <c r="G359" s="1">
        <v>6000</v>
      </c>
      <c r="H359">
        <v>0</v>
      </c>
      <c r="I359" s="59" t="s">
        <v>2</v>
      </c>
    </row>
    <row r="360" spans="1:9" x14ac:dyDescent="0.2">
      <c r="A360">
        <v>320</v>
      </c>
      <c r="B360">
        <v>1812210</v>
      </c>
      <c r="C360">
        <v>0</v>
      </c>
      <c r="D360" s="1">
        <v>67956</v>
      </c>
      <c r="E360">
        <v>940.5</v>
      </c>
      <c r="F360">
        <v>0</v>
      </c>
      <c r="G360" s="1">
        <v>1000</v>
      </c>
      <c r="H360">
        <v>280</v>
      </c>
      <c r="I360" s="59" t="s">
        <v>2</v>
      </c>
    </row>
    <row r="361" spans="1:9" x14ac:dyDescent="0.2">
      <c r="A361">
        <v>320</v>
      </c>
      <c r="B361">
        <v>1812300</v>
      </c>
      <c r="C361">
        <v>0</v>
      </c>
      <c r="D361" s="1">
        <v>2224</v>
      </c>
      <c r="E361">
        <v>0</v>
      </c>
      <c r="F361" s="1">
        <v>53032.72</v>
      </c>
      <c r="G361">
        <v>0</v>
      </c>
      <c r="H361">
        <v>0</v>
      </c>
      <c r="I361" s="59" t="s">
        <v>2</v>
      </c>
    </row>
    <row r="362" spans="1:9" x14ac:dyDescent="0.2">
      <c r="A362">
        <v>320</v>
      </c>
      <c r="B362">
        <v>1812510</v>
      </c>
      <c r="C362">
        <v>0</v>
      </c>
      <c r="D362" s="1">
        <v>4851.8900000000003</v>
      </c>
      <c r="E362" s="1">
        <v>49069.120000000003</v>
      </c>
      <c r="F362">
        <v>0</v>
      </c>
      <c r="G362" s="1">
        <v>5864000</v>
      </c>
      <c r="H362" s="1">
        <v>6431353.3899999997</v>
      </c>
      <c r="I362" s="59" t="s">
        <v>2</v>
      </c>
    </row>
    <row r="363" spans="1:9" x14ac:dyDescent="0.2">
      <c r="A363">
        <v>320</v>
      </c>
      <c r="B363">
        <v>1812600</v>
      </c>
      <c r="C363">
        <v>0</v>
      </c>
      <c r="D363" s="1">
        <v>69508.7</v>
      </c>
      <c r="E363">
        <v>0</v>
      </c>
      <c r="F363" s="1">
        <v>75745.179999999993</v>
      </c>
      <c r="G363">
        <v>0</v>
      </c>
      <c r="H363" s="1">
        <v>90323.03</v>
      </c>
      <c r="I363" s="59" t="s">
        <v>2</v>
      </c>
    </row>
    <row r="364" spans="1:9" x14ac:dyDescent="0.2">
      <c r="A364">
        <v>320</v>
      </c>
      <c r="B364">
        <v>1812800</v>
      </c>
      <c r="C364">
        <v>0</v>
      </c>
      <c r="D364" s="1">
        <v>8186.17</v>
      </c>
      <c r="E364" s="1">
        <v>14060.07</v>
      </c>
      <c r="F364">
        <v>0</v>
      </c>
      <c r="G364" s="1">
        <v>70000</v>
      </c>
      <c r="H364" s="1">
        <v>107997.34</v>
      </c>
      <c r="I364" s="59" t="s">
        <v>2</v>
      </c>
    </row>
    <row r="365" spans="1:9" x14ac:dyDescent="0.2">
      <c r="A365">
        <v>320</v>
      </c>
      <c r="B365">
        <v>1812900</v>
      </c>
      <c r="C365">
        <v>0</v>
      </c>
      <c r="D365" s="1">
        <v>35114.93</v>
      </c>
      <c r="E365">
        <v>0</v>
      </c>
      <c r="F365" s="1">
        <v>33341.03</v>
      </c>
      <c r="G365" s="1">
        <v>60000</v>
      </c>
      <c r="H365" s="1">
        <v>88581.73</v>
      </c>
      <c r="I365" s="59" t="s">
        <v>2</v>
      </c>
    </row>
    <row r="366" spans="1:9" x14ac:dyDescent="0.2">
      <c r="A366">
        <v>320</v>
      </c>
      <c r="B366">
        <v>1813200</v>
      </c>
      <c r="C366">
        <v>0</v>
      </c>
      <c r="D366" s="1">
        <v>58022.17</v>
      </c>
      <c r="E366">
        <v>0</v>
      </c>
      <c r="F366" s="1">
        <v>1394361.13</v>
      </c>
      <c r="G366" s="1">
        <v>8500000</v>
      </c>
      <c r="H366" s="1">
        <v>7465679.1299999999</v>
      </c>
      <c r="I366" s="59" t="s">
        <v>2</v>
      </c>
    </row>
    <row r="367" spans="1:9" x14ac:dyDescent="0.2">
      <c r="A367">
        <v>320</v>
      </c>
      <c r="B367">
        <v>1813216</v>
      </c>
      <c r="C367">
        <v>0</v>
      </c>
      <c r="D367" s="1">
        <v>24616</v>
      </c>
      <c r="E367">
        <v>0</v>
      </c>
      <c r="F367">
        <v>0</v>
      </c>
      <c r="G367">
        <v>0</v>
      </c>
      <c r="H367" s="1">
        <v>577599.81999999995</v>
      </c>
      <c r="I367" s="59" t="s">
        <v>2</v>
      </c>
    </row>
    <row r="368" spans="1:9" x14ac:dyDescent="0.2">
      <c r="A368">
        <v>320</v>
      </c>
      <c r="B368">
        <v>1813218</v>
      </c>
      <c r="C368">
        <v>0</v>
      </c>
      <c r="D368" s="1">
        <v>6558.26</v>
      </c>
      <c r="E368">
        <v>0</v>
      </c>
      <c r="F368">
        <v>262</v>
      </c>
      <c r="G368" s="1">
        <v>63000</v>
      </c>
      <c r="H368">
        <v>0</v>
      </c>
      <c r="I368" s="59" t="s">
        <v>2</v>
      </c>
    </row>
    <row r="369" spans="1:9" x14ac:dyDescent="0.2">
      <c r="A369">
        <v>320</v>
      </c>
      <c r="B369">
        <v>1813300</v>
      </c>
      <c r="C369">
        <v>0</v>
      </c>
      <c r="D369" s="1">
        <v>21692</v>
      </c>
      <c r="E369">
        <v>0</v>
      </c>
      <c r="F369" s="1">
        <v>1337.56</v>
      </c>
      <c r="G369">
        <v>0</v>
      </c>
      <c r="H369">
        <v>0</v>
      </c>
      <c r="I369" s="59" t="s">
        <v>2</v>
      </c>
    </row>
    <row r="370" spans="1:9" x14ac:dyDescent="0.2">
      <c r="A370">
        <v>320</v>
      </c>
      <c r="B370">
        <v>1813400</v>
      </c>
      <c r="C370">
        <v>0</v>
      </c>
      <c r="D370" s="1">
        <v>179949.6</v>
      </c>
      <c r="E370" s="1">
        <v>9819.4500000000007</v>
      </c>
      <c r="F370">
        <v>0</v>
      </c>
      <c r="G370" s="1">
        <v>435000</v>
      </c>
      <c r="H370" s="1">
        <v>444897.86</v>
      </c>
      <c r="I370" s="59" t="s">
        <v>2</v>
      </c>
    </row>
    <row r="371" spans="1:9" x14ac:dyDescent="0.2">
      <c r="A371">
        <v>320</v>
      </c>
      <c r="B371">
        <v>1813500</v>
      </c>
      <c r="C371">
        <v>0</v>
      </c>
      <c r="D371" s="1">
        <v>17181.189999999999</v>
      </c>
      <c r="E371">
        <v>0</v>
      </c>
      <c r="F371" s="1">
        <v>212725.06</v>
      </c>
      <c r="G371" s="1">
        <v>240000</v>
      </c>
      <c r="H371" s="1">
        <v>314239.74</v>
      </c>
      <c r="I371" s="59" t="s">
        <v>2</v>
      </c>
    </row>
    <row r="372" spans="1:9" x14ac:dyDescent="0.2">
      <c r="A372">
        <v>320</v>
      </c>
      <c r="B372">
        <v>1817300</v>
      </c>
      <c r="C372">
        <v>0</v>
      </c>
      <c r="D372" s="1">
        <v>69671</v>
      </c>
      <c r="E372">
        <v>0</v>
      </c>
      <c r="F372">
        <v>40.950000000000003</v>
      </c>
      <c r="G372">
        <v>0</v>
      </c>
      <c r="H372">
        <v>0</v>
      </c>
      <c r="I372" s="59" t="s">
        <v>2</v>
      </c>
    </row>
    <row r="373" spans="1:9" x14ac:dyDescent="0.2">
      <c r="A373">
        <v>320</v>
      </c>
      <c r="B373">
        <v>1817900</v>
      </c>
      <c r="C373">
        <v>0</v>
      </c>
      <c r="D373" s="1">
        <v>5635.34</v>
      </c>
      <c r="E373" s="1">
        <v>10396.040000000001</v>
      </c>
      <c r="F373">
        <v>0</v>
      </c>
      <c r="G373" s="1">
        <v>65000</v>
      </c>
      <c r="H373" s="1">
        <v>130881.8</v>
      </c>
      <c r="I373" s="59" t="s">
        <v>2</v>
      </c>
    </row>
    <row r="374" spans="1:9" x14ac:dyDescent="0.2">
      <c r="A374">
        <v>320</v>
      </c>
      <c r="B374">
        <v>1823000</v>
      </c>
      <c r="C374">
        <v>0</v>
      </c>
      <c r="D374" s="1">
        <v>14887</v>
      </c>
      <c r="E374">
        <v>0</v>
      </c>
      <c r="F374" s="1">
        <v>7294.63</v>
      </c>
      <c r="G374" s="1">
        <v>1417000</v>
      </c>
      <c r="H374" s="1">
        <v>1520069.62</v>
      </c>
      <c r="I374" s="59" t="s">
        <v>2</v>
      </c>
    </row>
    <row r="375" spans="1:9" x14ac:dyDescent="0.2">
      <c r="A375">
        <v>320</v>
      </c>
      <c r="B375">
        <v>1829200</v>
      </c>
      <c r="C375">
        <v>0</v>
      </c>
      <c r="D375" s="1">
        <v>13420</v>
      </c>
      <c r="E375">
        <v>0</v>
      </c>
      <c r="F375">
        <v>0</v>
      </c>
      <c r="G375">
        <v>0</v>
      </c>
      <c r="H375" s="1">
        <v>15011</v>
      </c>
      <c r="I375" s="59" t="s">
        <v>2</v>
      </c>
    </row>
    <row r="376" spans="1:9" x14ac:dyDescent="0.2">
      <c r="A376">
        <v>320</v>
      </c>
      <c r="B376">
        <v>1841000</v>
      </c>
      <c r="C376">
        <v>0</v>
      </c>
      <c r="D376" s="1">
        <v>28733.32</v>
      </c>
      <c r="E376">
        <v>0</v>
      </c>
      <c r="F376" s="1">
        <v>84577.55</v>
      </c>
      <c r="G376" s="1">
        <v>1000</v>
      </c>
      <c r="H376">
        <v>0</v>
      </c>
      <c r="I376" s="59" t="s">
        <v>2</v>
      </c>
    </row>
    <row r="377" spans="1:9" x14ac:dyDescent="0.2">
      <c r="A377">
        <v>320</v>
      </c>
      <c r="B377">
        <v>1869000</v>
      </c>
      <c r="C377">
        <v>0</v>
      </c>
      <c r="D377">
        <v>655</v>
      </c>
      <c r="E377" s="1">
        <v>1000</v>
      </c>
      <c r="F377">
        <v>0</v>
      </c>
      <c r="G377" s="1">
        <v>1000</v>
      </c>
      <c r="H377">
        <v>848</v>
      </c>
      <c r="I377" s="59" t="s">
        <v>2</v>
      </c>
    </row>
    <row r="378" spans="1:9" x14ac:dyDescent="0.2">
      <c r="A378">
        <v>320</v>
      </c>
      <c r="B378">
        <v>1999000</v>
      </c>
      <c r="C378">
        <v>0</v>
      </c>
      <c r="D378" s="1">
        <v>1310007.8</v>
      </c>
      <c r="E378">
        <v>0</v>
      </c>
      <c r="F378" s="1">
        <v>334697.19</v>
      </c>
      <c r="G378" s="1">
        <v>7000000</v>
      </c>
      <c r="H378" s="1">
        <v>6585200.3499999996</v>
      </c>
      <c r="I378" s="59">
        <f>SUM(D249:D378)/1000</f>
        <v>162404.61304999996</v>
      </c>
    </row>
    <row r="379" spans="1:9" x14ac:dyDescent="0.2">
      <c r="A379">
        <v>410</v>
      </c>
      <c r="B379">
        <v>1939000</v>
      </c>
      <c r="C379">
        <v>0</v>
      </c>
      <c r="D379" s="1">
        <v>91113.17</v>
      </c>
      <c r="E379">
        <v>0</v>
      </c>
      <c r="F379" s="1">
        <v>1576.62</v>
      </c>
      <c r="G379">
        <v>0</v>
      </c>
      <c r="H379" s="1">
        <v>4417.8999999999996</v>
      </c>
      <c r="I379" s="59">
        <f>D379/1000</f>
        <v>91.113169999999997</v>
      </c>
    </row>
    <row r="380" spans="1:9" x14ac:dyDescent="0.2">
      <c r="A380">
        <v>422</v>
      </c>
      <c r="B380">
        <v>1723000</v>
      </c>
      <c r="C380">
        <v>0</v>
      </c>
      <c r="D380" s="1">
        <v>10468</v>
      </c>
      <c r="E380">
        <v>0</v>
      </c>
      <c r="F380">
        <v>0</v>
      </c>
      <c r="G380">
        <v>0</v>
      </c>
      <c r="H380" s="1">
        <v>17192.55</v>
      </c>
      <c r="I380" s="59" t="s">
        <v>2</v>
      </c>
    </row>
    <row r="381" spans="1:9" x14ac:dyDescent="0.2">
      <c r="A381">
        <v>430</v>
      </c>
      <c r="B381">
        <v>1613000</v>
      </c>
      <c r="C381">
        <v>0</v>
      </c>
      <c r="D381" s="1">
        <v>598262.21</v>
      </c>
      <c r="E381" s="1">
        <v>67738.5</v>
      </c>
      <c r="F381">
        <v>0</v>
      </c>
      <c r="G381" s="1">
        <v>105000</v>
      </c>
      <c r="H381" s="1">
        <v>195355.5</v>
      </c>
      <c r="I381" s="59" t="s">
        <v>2</v>
      </c>
    </row>
    <row r="382" spans="1:9" x14ac:dyDescent="0.2">
      <c r="A382">
        <v>430</v>
      </c>
      <c r="B382">
        <v>1617000</v>
      </c>
      <c r="C382">
        <v>0</v>
      </c>
      <c r="D382">
        <v>897.44</v>
      </c>
      <c r="E382" s="1">
        <v>14639</v>
      </c>
      <c r="F382">
        <v>0</v>
      </c>
      <c r="G382" s="1">
        <v>75000</v>
      </c>
      <c r="H382">
        <v>0</v>
      </c>
      <c r="I382" s="59" t="s">
        <v>2</v>
      </c>
    </row>
    <row r="383" spans="1:9" x14ac:dyDescent="0.2">
      <c r="A383">
        <v>430</v>
      </c>
      <c r="B383">
        <v>1712400</v>
      </c>
      <c r="C383">
        <v>0</v>
      </c>
      <c r="D383" s="1">
        <v>85577.55</v>
      </c>
      <c r="E383">
        <v>0</v>
      </c>
      <c r="F383" s="1">
        <v>5186.91</v>
      </c>
      <c r="G383" s="1">
        <v>1359000</v>
      </c>
      <c r="H383" s="1">
        <v>1299419.77</v>
      </c>
      <c r="I383" s="59" t="s">
        <v>2</v>
      </c>
    </row>
    <row r="384" spans="1:9" x14ac:dyDescent="0.2">
      <c r="A384">
        <v>430</v>
      </c>
      <c r="B384">
        <v>1715000</v>
      </c>
      <c r="C384">
        <v>0</v>
      </c>
      <c r="D384">
        <v>164.32</v>
      </c>
      <c r="E384">
        <v>835.68</v>
      </c>
      <c r="F384">
        <v>0</v>
      </c>
      <c r="G384" s="1">
        <v>1000</v>
      </c>
      <c r="H384">
        <v>189.59</v>
      </c>
      <c r="I384" s="59" t="s">
        <v>2</v>
      </c>
    </row>
    <row r="385" spans="1:9" x14ac:dyDescent="0.2">
      <c r="A385">
        <v>430</v>
      </c>
      <c r="B385">
        <v>1723000</v>
      </c>
      <c r="C385">
        <v>0</v>
      </c>
      <c r="D385" s="1">
        <v>23488.61</v>
      </c>
      <c r="E385">
        <v>0</v>
      </c>
      <c r="F385">
        <v>445</v>
      </c>
      <c r="G385" s="1">
        <v>14000</v>
      </c>
      <c r="H385">
        <v>0</v>
      </c>
      <c r="I385" s="59" t="s">
        <v>2</v>
      </c>
    </row>
    <row r="386" spans="1:9" x14ac:dyDescent="0.2">
      <c r="A386">
        <v>430</v>
      </c>
      <c r="B386">
        <v>1723100</v>
      </c>
      <c r="C386">
        <v>0</v>
      </c>
      <c r="D386" s="1">
        <v>105050.08</v>
      </c>
      <c r="E386" s="1">
        <v>7800</v>
      </c>
      <c r="F386">
        <v>0</v>
      </c>
      <c r="G386" s="1">
        <v>270000</v>
      </c>
      <c r="H386" s="1">
        <v>258313</v>
      </c>
      <c r="I386" s="59" t="s">
        <v>2</v>
      </c>
    </row>
    <row r="387" spans="1:9" x14ac:dyDescent="0.2">
      <c r="A387">
        <v>430</v>
      </c>
      <c r="B387">
        <v>1724000</v>
      </c>
      <c r="C387">
        <v>0</v>
      </c>
      <c r="D387">
        <v>227.93</v>
      </c>
      <c r="E387">
        <v>0</v>
      </c>
      <c r="F387" s="1">
        <v>285722.62</v>
      </c>
      <c r="G387" s="1">
        <v>618000</v>
      </c>
      <c r="H387" s="1">
        <v>1026997.27</v>
      </c>
      <c r="I387" s="59" t="s">
        <v>2</v>
      </c>
    </row>
    <row r="388" spans="1:9" x14ac:dyDescent="0.2">
      <c r="A388">
        <v>430</v>
      </c>
      <c r="B388">
        <v>1812300</v>
      </c>
      <c r="C388">
        <v>0</v>
      </c>
      <c r="D388" s="1">
        <v>259574.79</v>
      </c>
      <c r="E388" s="1">
        <v>2000</v>
      </c>
      <c r="F388">
        <v>0</v>
      </c>
      <c r="G388" s="1">
        <v>2000</v>
      </c>
      <c r="H388" s="1">
        <v>1110</v>
      </c>
      <c r="I388" s="59" t="s">
        <v>2</v>
      </c>
    </row>
    <row r="389" spans="1:9" x14ac:dyDescent="0.2">
      <c r="A389">
        <v>430</v>
      </c>
      <c r="B389">
        <v>1813213</v>
      </c>
      <c r="C389">
        <v>0</v>
      </c>
      <c r="D389" s="1">
        <v>10889.01</v>
      </c>
      <c r="E389" s="1">
        <v>2336.7399999999998</v>
      </c>
      <c r="F389">
        <v>0</v>
      </c>
      <c r="G389" s="1">
        <v>8000</v>
      </c>
      <c r="H389" s="1">
        <v>9501.0300000000007</v>
      </c>
      <c r="I389" s="59" t="s">
        <v>2</v>
      </c>
    </row>
    <row r="390" spans="1:9" x14ac:dyDescent="0.2">
      <c r="A390">
        <v>430</v>
      </c>
      <c r="B390">
        <v>1813214</v>
      </c>
      <c r="C390">
        <v>0</v>
      </c>
      <c r="D390" s="1">
        <v>23502</v>
      </c>
      <c r="E390" s="1">
        <v>11246</v>
      </c>
      <c r="F390">
        <v>0</v>
      </c>
      <c r="G390" s="1">
        <v>11000</v>
      </c>
      <c r="H390" s="1">
        <v>11079</v>
      </c>
      <c r="I390" s="59" t="s">
        <v>2</v>
      </c>
    </row>
    <row r="391" spans="1:9" x14ac:dyDescent="0.2">
      <c r="A391">
        <v>430</v>
      </c>
      <c r="B391">
        <v>1813220</v>
      </c>
      <c r="C391">
        <v>0</v>
      </c>
      <c r="D391" s="1">
        <v>6010.62</v>
      </c>
      <c r="E391" s="1">
        <v>2003.5</v>
      </c>
      <c r="F391">
        <v>0</v>
      </c>
      <c r="G391" s="1">
        <v>61000</v>
      </c>
      <c r="H391" s="1">
        <v>18825.3</v>
      </c>
      <c r="I391" s="59" t="s">
        <v>2</v>
      </c>
    </row>
    <row r="392" spans="1:9" x14ac:dyDescent="0.2">
      <c r="A392">
        <v>430</v>
      </c>
      <c r="B392">
        <v>1813240</v>
      </c>
      <c r="C392">
        <v>0</v>
      </c>
      <c r="D392" s="1">
        <v>38811.949999999997</v>
      </c>
      <c r="E392">
        <v>62.34</v>
      </c>
      <c r="F392">
        <v>0</v>
      </c>
      <c r="G392" s="1">
        <v>8000</v>
      </c>
      <c r="H392">
        <v>0</v>
      </c>
      <c r="I392" s="59" t="s">
        <v>2</v>
      </c>
    </row>
    <row r="393" spans="1:9" x14ac:dyDescent="0.2">
      <c r="A393">
        <v>430</v>
      </c>
      <c r="B393">
        <v>1813280</v>
      </c>
      <c r="C393">
        <v>0</v>
      </c>
      <c r="D393" s="1">
        <v>10472.77</v>
      </c>
      <c r="E393">
        <v>0</v>
      </c>
      <c r="F393">
        <v>0</v>
      </c>
      <c r="G393">
        <v>0</v>
      </c>
      <c r="H393">
        <v>233</v>
      </c>
      <c r="I393" s="59" t="s">
        <v>2</v>
      </c>
    </row>
    <row r="394" spans="1:9" x14ac:dyDescent="0.2">
      <c r="A394">
        <v>430</v>
      </c>
      <c r="B394">
        <v>1815500</v>
      </c>
      <c r="C394">
        <v>0</v>
      </c>
      <c r="D394" s="1">
        <v>33518.31</v>
      </c>
      <c r="E394">
        <v>334.6</v>
      </c>
      <c r="F394">
        <v>0</v>
      </c>
      <c r="G394" s="1">
        <v>2000</v>
      </c>
      <c r="H394">
        <v>0</v>
      </c>
      <c r="I394" s="59" t="s">
        <v>2</v>
      </c>
    </row>
    <row r="395" spans="1:9" x14ac:dyDescent="0.2">
      <c r="A395">
        <v>430</v>
      </c>
      <c r="B395">
        <v>1817300</v>
      </c>
      <c r="C395">
        <v>0</v>
      </c>
      <c r="D395" s="1">
        <v>2652.72</v>
      </c>
      <c r="E395" s="1">
        <v>1000</v>
      </c>
      <c r="F395">
        <v>0</v>
      </c>
      <c r="G395" s="1">
        <v>1000</v>
      </c>
      <c r="H395">
        <v>0</v>
      </c>
      <c r="I395" s="59" t="s">
        <v>2</v>
      </c>
    </row>
    <row r="396" spans="1:9" x14ac:dyDescent="0.2">
      <c r="A396">
        <v>430</v>
      </c>
      <c r="B396">
        <v>1823000</v>
      </c>
      <c r="C396">
        <v>0</v>
      </c>
      <c r="D396" s="1">
        <v>13735.4</v>
      </c>
      <c r="E396">
        <v>0</v>
      </c>
      <c r="F396">
        <v>0</v>
      </c>
      <c r="G396">
        <v>0</v>
      </c>
      <c r="H396" s="1">
        <v>50564.75</v>
      </c>
      <c r="I396" s="59" t="s">
        <v>2</v>
      </c>
    </row>
    <row r="397" spans="1:9" x14ac:dyDescent="0.2">
      <c r="A397">
        <v>771</v>
      </c>
      <c r="B397">
        <v>1743000</v>
      </c>
      <c r="C397">
        <v>0</v>
      </c>
      <c r="D397" s="1">
        <v>3614353.63</v>
      </c>
      <c r="E397">
        <v>0</v>
      </c>
      <c r="F397" s="1">
        <v>3502</v>
      </c>
      <c r="G397" s="1">
        <v>20000</v>
      </c>
      <c r="H397" s="1">
        <v>20425</v>
      </c>
      <c r="I397" s="59" t="s">
        <v>2</v>
      </c>
    </row>
    <row r="398" spans="1:9" x14ac:dyDescent="0.2">
      <c r="A398">
        <v>430</v>
      </c>
      <c r="B398">
        <v>1841000</v>
      </c>
      <c r="C398">
        <v>0</v>
      </c>
      <c r="D398" s="1">
        <v>6380.98</v>
      </c>
      <c r="E398">
        <v>0</v>
      </c>
      <c r="F398">
        <v>394.2</v>
      </c>
      <c r="G398" s="1">
        <v>2000</v>
      </c>
      <c r="H398" s="1">
        <v>1093.6500000000001</v>
      </c>
      <c r="I398" s="59" t="s">
        <v>2</v>
      </c>
    </row>
    <row r="399" spans="1:9" x14ac:dyDescent="0.2">
      <c r="A399">
        <v>430</v>
      </c>
      <c r="B399">
        <v>1939000</v>
      </c>
      <c r="C399">
        <v>0</v>
      </c>
      <c r="D399" s="1">
        <v>5799.73</v>
      </c>
      <c r="E399">
        <v>205</v>
      </c>
      <c r="F399">
        <v>0</v>
      </c>
      <c r="G399" s="1">
        <v>1000</v>
      </c>
      <c r="H399">
        <v>0</v>
      </c>
      <c r="I399" s="59">
        <f>SUM(D380:D399)/1000</f>
        <v>4849.8380500000003</v>
      </c>
    </row>
    <row r="400" spans="1:9" x14ac:dyDescent="0.2">
      <c r="A400">
        <v>440</v>
      </c>
      <c r="B400">
        <v>1723200</v>
      </c>
      <c r="C400">
        <v>0</v>
      </c>
      <c r="D400" s="1">
        <v>10000</v>
      </c>
      <c r="E400" s="1">
        <v>2000</v>
      </c>
      <c r="F400">
        <v>0</v>
      </c>
      <c r="G400" s="1">
        <v>2000</v>
      </c>
      <c r="H400">
        <v>0</v>
      </c>
      <c r="I400" s="59" t="s">
        <v>2</v>
      </c>
    </row>
    <row r="401" spans="1:9" x14ac:dyDescent="0.2">
      <c r="A401">
        <v>440</v>
      </c>
      <c r="B401">
        <v>1767000</v>
      </c>
      <c r="C401">
        <v>0</v>
      </c>
      <c r="D401" s="1">
        <v>1290659.67</v>
      </c>
      <c r="E401" s="1">
        <v>1000</v>
      </c>
      <c r="F401">
        <v>0</v>
      </c>
      <c r="G401" s="1">
        <v>1000</v>
      </c>
      <c r="H401">
        <v>0</v>
      </c>
      <c r="I401" s="59" t="s">
        <v>2</v>
      </c>
    </row>
    <row r="402" spans="1:9" x14ac:dyDescent="0.2">
      <c r="A402">
        <v>440</v>
      </c>
      <c r="B402">
        <v>1767100</v>
      </c>
      <c r="C402">
        <v>0</v>
      </c>
      <c r="D402" s="1">
        <v>1854910</v>
      </c>
      <c r="E402">
        <v>0</v>
      </c>
      <c r="F402" s="1">
        <v>49604.7</v>
      </c>
      <c r="G402" s="1">
        <v>323000</v>
      </c>
      <c r="H402">
        <v>0</v>
      </c>
      <c r="I402" s="59">
        <f>SUM(D400:D402)/1000</f>
        <v>3155.5696699999999</v>
      </c>
    </row>
    <row r="403" spans="1:9" x14ac:dyDescent="0.2">
      <c r="A403">
        <v>470</v>
      </c>
      <c r="B403">
        <v>1611000</v>
      </c>
      <c r="C403">
        <v>0</v>
      </c>
      <c r="D403" s="1">
        <v>32554.67</v>
      </c>
      <c r="E403">
        <v>0</v>
      </c>
      <c r="F403" s="1">
        <v>10468</v>
      </c>
      <c r="G403">
        <v>0</v>
      </c>
      <c r="H403">
        <v>0</v>
      </c>
      <c r="I403" s="59" t="s">
        <v>2</v>
      </c>
    </row>
    <row r="404" spans="1:9" x14ac:dyDescent="0.2">
      <c r="A404">
        <v>470</v>
      </c>
      <c r="B404">
        <v>1611200</v>
      </c>
      <c r="C404">
        <v>0</v>
      </c>
      <c r="D404" s="1">
        <v>3849</v>
      </c>
      <c r="E404" s="1">
        <v>76511.39</v>
      </c>
      <c r="F404">
        <v>0</v>
      </c>
      <c r="G404" s="1">
        <v>100000</v>
      </c>
      <c r="H404" s="1">
        <v>116545.56</v>
      </c>
      <c r="I404" s="59" t="s">
        <v>2</v>
      </c>
    </row>
    <row r="405" spans="1:9" x14ac:dyDescent="0.2">
      <c r="A405">
        <v>470</v>
      </c>
      <c r="B405">
        <v>1612000</v>
      </c>
      <c r="C405">
        <v>0</v>
      </c>
      <c r="D405">
        <v>301.45999999999998</v>
      </c>
      <c r="E405">
        <v>0</v>
      </c>
      <c r="F405">
        <v>0</v>
      </c>
      <c r="G405">
        <v>0</v>
      </c>
      <c r="H405" s="1">
        <v>1061</v>
      </c>
      <c r="I405" s="59" t="s">
        <v>2</v>
      </c>
    </row>
    <row r="406" spans="1:9" x14ac:dyDescent="0.2">
      <c r="A406">
        <v>470</v>
      </c>
      <c r="B406">
        <v>1613000</v>
      </c>
      <c r="C406">
        <v>0</v>
      </c>
      <c r="D406" s="1">
        <v>398768.82</v>
      </c>
      <c r="E406" s="1">
        <v>26582</v>
      </c>
      <c r="F406">
        <v>0</v>
      </c>
      <c r="G406" s="1">
        <v>315000</v>
      </c>
      <c r="H406" s="1">
        <v>293912</v>
      </c>
      <c r="I406" s="59" t="s">
        <v>2</v>
      </c>
    </row>
    <row r="407" spans="1:9" x14ac:dyDescent="0.2">
      <c r="A407">
        <v>470</v>
      </c>
      <c r="B407">
        <v>1613100</v>
      </c>
      <c r="C407">
        <v>0</v>
      </c>
      <c r="D407" s="1">
        <v>24261</v>
      </c>
      <c r="E407">
        <v>0</v>
      </c>
      <c r="F407">
        <v>50.08</v>
      </c>
      <c r="G407" s="1">
        <v>105000</v>
      </c>
      <c r="H407">
        <v>0</v>
      </c>
      <c r="I407" s="59" t="s">
        <v>2</v>
      </c>
    </row>
    <row r="408" spans="1:9" x14ac:dyDescent="0.2">
      <c r="A408">
        <v>470</v>
      </c>
      <c r="B408">
        <v>1617000</v>
      </c>
      <c r="C408">
        <v>0</v>
      </c>
      <c r="D408" s="1">
        <v>9969.9599999999991</v>
      </c>
      <c r="E408">
        <v>0</v>
      </c>
      <c r="F408">
        <v>0</v>
      </c>
      <c r="G408" s="1">
        <v>10000</v>
      </c>
      <c r="H408">
        <v>0</v>
      </c>
      <c r="I408" s="59" t="s">
        <v>2</v>
      </c>
    </row>
    <row r="409" spans="1:9" x14ac:dyDescent="0.2">
      <c r="A409">
        <v>470</v>
      </c>
      <c r="B409">
        <v>1617100</v>
      </c>
      <c r="C409">
        <v>0</v>
      </c>
      <c r="D409" s="1">
        <v>1600</v>
      </c>
      <c r="E409">
        <v>772.07</v>
      </c>
      <c r="F409">
        <v>0</v>
      </c>
      <c r="G409" s="1">
        <v>1000</v>
      </c>
      <c r="H409">
        <v>404.97</v>
      </c>
      <c r="I409" s="59" t="s">
        <v>2</v>
      </c>
    </row>
    <row r="410" spans="1:9" x14ac:dyDescent="0.2">
      <c r="A410">
        <v>470</v>
      </c>
      <c r="B410">
        <v>1621000</v>
      </c>
      <c r="C410">
        <v>0</v>
      </c>
      <c r="D410" s="1">
        <v>33194.559999999998</v>
      </c>
      <c r="E410" s="1">
        <v>2377.31</v>
      </c>
      <c r="F410">
        <v>0</v>
      </c>
      <c r="G410" s="1">
        <v>30000</v>
      </c>
      <c r="H410" s="1">
        <v>6593</v>
      </c>
      <c r="I410" s="59" t="s">
        <v>2</v>
      </c>
    </row>
    <row r="411" spans="1:9" x14ac:dyDescent="0.2">
      <c r="A411">
        <v>470</v>
      </c>
      <c r="B411">
        <v>1621300</v>
      </c>
      <c r="C411">
        <v>0</v>
      </c>
      <c r="D411" s="1">
        <v>16921.2</v>
      </c>
      <c r="E411">
        <v>692.04</v>
      </c>
      <c r="F411">
        <v>0</v>
      </c>
      <c r="G411" s="1">
        <v>26000</v>
      </c>
      <c r="H411">
        <v>0</v>
      </c>
      <c r="I411" s="59" t="s">
        <v>2</v>
      </c>
    </row>
    <row r="412" spans="1:9" x14ac:dyDescent="0.2">
      <c r="A412">
        <v>470</v>
      </c>
      <c r="B412">
        <v>1621310</v>
      </c>
      <c r="C412">
        <v>0</v>
      </c>
      <c r="D412">
        <v>900</v>
      </c>
      <c r="E412">
        <v>0</v>
      </c>
      <c r="F412" s="1">
        <v>13214</v>
      </c>
      <c r="G412" s="1">
        <v>107000</v>
      </c>
      <c r="H412">
        <v>0</v>
      </c>
      <c r="I412" s="59" t="s">
        <v>2</v>
      </c>
    </row>
    <row r="413" spans="1:9" x14ac:dyDescent="0.2">
      <c r="A413">
        <v>470</v>
      </c>
      <c r="B413">
        <v>1623000</v>
      </c>
      <c r="C413">
        <v>0</v>
      </c>
      <c r="D413" s="1">
        <v>26473.55</v>
      </c>
      <c r="E413" s="1">
        <v>14000</v>
      </c>
      <c r="F413">
        <v>0</v>
      </c>
      <c r="G413" s="1">
        <v>14000</v>
      </c>
      <c r="H413">
        <v>0</v>
      </c>
      <c r="I413" s="59" t="s">
        <v>2</v>
      </c>
    </row>
    <row r="414" spans="1:9" x14ac:dyDescent="0.2">
      <c r="A414">
        <v>470</v>
      </c>
      <c r="B414">
        <v>1711000</v>
      </c>
      <c r="C414">
        <v>0</v>
      </c>
      <c r="D414" s="1">
        <v>16165.56</v>
      </c>
      <c r="E414" s="1">
        <v>12323.02</v>
      </c>
      <c r="F414">
        <v>0</v>
      </c>
      <c r="G414" s="1">
        <v>87000</v>
      </c>
      <c r="H414">
        <v>0</v>
      </c>
      <c r="I414" s="59" t="s">
        <v>2</v>
      </c>
    </row>
    <row r="415" spans="1:9" x14ac:dyDescent="0.2">
      <c r="A415">
        <v>470</v>
      </c>
      <c r="B415">
        <v>1721000</v>
      </c>
      <c r="C415">
        <v>0</v>
      </c>
      <c r="D415" s="1">
        <v>12864.88</v>
      </c>
      <c r="E415" s="1">
        <v>26229</v>
      </c>
      <c r="F415">
        <v>0</v>
      </c>
      <c r="G415" s="1">
        <v>63000</v>
      </c>
      <c r="H415">
        <v>0</v>
      </c>
      <c r="I415" s="59" t="s">
        <v>2</v>
      </c>
    </row>
    <row r="416" spans="1:9" x14ac:dyDescent="0.2">
      <c r="A416">
        <v>470</v>
      </c>
      <c r="B416">
        <v>1722100</v>
      </c>
      <c r="C416">
        <v>0</v>
      </c>
      <c r="D416">
        <v>795</v>
      </c>
      <c r="E416">
        <v>0</v>
      </c>
      <c r="F416" s="1">
        <v>18143.63</v>
      </c>
      <c r="G416" s="1">
        <v>540000</v>
      </c>
      <c r="H416">
        <v>0</v>
      </c>
      <c r="I416" s="59" t="s">
        <v>2</v>
      </c>
    </row>
    <row r="417" spans="1:9" x14ac:dyDescent="0.2">
      <c r="A417">
        <v>470</v>
      </c>
      <c r="B417">
        <v>1731000</v>
      </c>
      <c r="C417">
        <v>0</v>
      </c>
      <c r="D417" s="1">
        <v>55252.67</v>
      </c>
      <c r="E417">
        <v>0</v>
      </c>
      <c r="F417" s="1">
        <v>1200</v>
      </c>
      <c r="G417" s="1">
        <v>93000</v>
      </c>
      <c r="H417">
        <v>0</v>
      </c>
      <c r="I417" s="59" t="s">
        <v>2</v>
      </c>
    </row>
    <row r="418" spans="1:9" x14ac:dyDescent="0.2">
      <c r="A418">
        <v>470</v>
      </c>
      <c r="B418">
        <v>1731100</v>
      </c>
      <c r="C418">
        <v>0</v>
      </c>
      <c r="D418" s="1">
        <v>4916.38</v>
      </c>
      <c r="E418">
        <v>0</v>
      </c>
      <c r="F418">
        <v>0</v>
      </c>
      <c r="G418" s="1">
        <v>140000</v>
      </c>
      <c r="H418">
        <v>0</v>
      </c>
      <c r="I418" s="59" t="s">
        <v>2</v>
      </c>
    </row>
    <row r="419" spans="1:9" x14ac:dyDescent="0.2">
      <c r="A419">
        <v>470</v>
      </c>
      <c r="B419">
        <v>1770000</v>
      </c>
      <c r="C419">
        <v>0</v>
      </c>
      <c r="D419" s="1">
        <v>1191.01</v>
      </c>
      <c r="E419">
        <v>0</v>
      </c>
      <c r="F419" s="1">
        <v>5252.67</v>
      </c>
      <c r="G419" s="1">
        <v>50000</v>
      </c>
      <c r="H419" s="1">
        <v>20819.080000000002</v>
      </c>
      <c r="I419" s="59" t="s">
        <v>2</v>
      </c>
    </row>
    <row r="420" spans="1:9" x14ac:dyDescent="0.2">
      <c r="A420">
        <v>470</v>
      </c>
      <c r="B420">
        <v>1782000</v>
      </c>
      <c r="C420">
        <v>0</v>
      </c>
      <c r="D420" s="1">
        <v>1051.02</v>
      </c>
      <c r="E420" s="1">
        <v>1000</v>
      </c>
      <c r="F420">
        <v>0</v>
      </c>
      <c r="G420" s="1">
        <v>1000</v>
      </c>
      <c r="H420" s="1">
        <v>1497</v>
      </c>
      <c r="I420" s="59" t="s">
        <v>2</v>
      </c>
    </row>
    <row r="421" spans="1:9" x14ac:dyDescent="0.2">
      <c r="A421">
        <v>470</v>
      </c>
      <c r="B421">
        <v>1811000</v>
      </c>
      <c r="C421">
        <v>0</v>
      </c>
      <c r="D421" s="1">
        <v>26103.75</v>
      </c>
      <c r="E421">
        <v>830</v>
      </c>
      <c r="F421">
        <v>0</v>
      </c>
      <c r="G421" s="1">
        <v>2000</v>
      </c>
      <c r="H421">
        <v>0</v>
      </c>
      <c r="I421" s="59" t="s">
        <v>2</v>
      </c>
    </row>
    <row r="422" spans="1:9" x14ac:dyDescent="0.2">
      <c r="A422">
        <v>470</v>
      </c>
      <c r="B422">
        <v>1813210</v>
      </c>
      <c r="C422">
        <v>0</v>
      </c>
      <c r="D422" s="1">
        <v>4467</v>
      </c>
      <c r="E422">
        <v>0</v>
      </c>
      <c r="F422" s="1">
        <v>2227.09</v>
      </c>
      <c r="G422" s="1">
        <v>6000</v>
      </c>
      <c r="H422" s="1">
        <v>5854.78</v>
      </c>
      <c r="I422" s="59" t="s">
        <v>2</v>
      </c>
    </row>
    <row r="423" spans="1:9" x14ac:dyDescent="0.2">
      <c r="A423">
        <v>470</v>
      </c>
      <c r="B423">
        <v>1815510</v>
      </c>
      <c r="C423">
        <v>0</v>
      </c>
      <c r="D423" s="1">
        <v>11786</v>
      </c>
      <c r="E423" s="1">
        <v>2000</v>
      </c>
      <c r="F423">
        <v>0</v>
      </c>
      <c r="G423" s="1">
        <v>2000</v>
      </c>
      <c r="H423">
        <v>0</v>
      </c>
      <c r="I423" s="59" t="s">
        <v>2</v>
      </c>
    </row>
    <row r="424" spans="1:9" x14ac:dyDescent="0.2">
      <c r="A424">
        <v>470</v>
      </c>
      <c r="B424">
        <v>1817300</v>
      </c>
      <c r="C424">
        <v>0</v>
      </c>
      <c r="D424" s="1">
        <v>8499.32</v>
      </c>
      <c r="E424" s="1">
        <v>1000</v>
      </c>
      <c r="F424">
        <v>0</v>
      </c>
      <c r="G424" s="1">
        <v>1000</v>
      </c>
      <c r="H424">
        <v>0</v>
      </c>
      <c r="I424" s="59" t="s">
        <v>2</v>
      </c>
    </row>
    <row r="425" spans="1:9" x14ac:dyDescent="0.2">
      <c r="A425">
        <v>470</v>
      </c>
      <c r="B425">
        <v>1822110</v>
      </c>
      <c r="C425">
        <v>0</v>
      </c>
      <c r="D425" s="1">
        <v>1200.31</v>
      </c>
      <c r="E425" s="1">
        <v>1000</v>
      </c>
      <c r="F425">
        <v>0</v>
      </c>
      <c r="G425" s="1">
        <v>1000</v>
      </c>
      <c r="H425">
        <v>643</v>
      </c>
      <c r="I425" s="59" t="s">
        <v>2</v>
      </c>
    </row>
    <row r="426" spans="1:9" x14ac:dyDescent="0.2">
      <c r="A426">
        <v>470</v>
      </c>
      <c r="B426">
        <v>1822200</v>
      </c>
      <c r="C426">
        <v>0</v>
      </c>
      <c r="D426" s="1">
        <v>2121.81</v>
      </c>
      <c r="E426" s="1">
        <v>1560.54</v>
      </c>
      <c r="F426">
        <v>0</v>
      </c>
      <c r="G426" s="1">
        <v>5000</v>
      </c>
      <c r="H426" s="1">
        <v>2996</v>
      </c>
      <c r="I426" s="59" t="s">
        <v>2</v>
      </c>
    </row>
    <row r="427" spans="1:9" x14ac:dyDescent="0.2">
      <c r="A427">
        <v>470</v>
      </c>
      <c r="B427">
        <v>1823000</v>
      </c>
      <c r="C427">
        <v>0</v>
      </c>
      <c r="D427" s="1">
        <v>4695.37</v>
      </c>
      <c r="E427">
        <v>0</v>
      </c>
      <c r="F427" s="1">
        <v>1827342.52</v>
      </c>
      <c r="G427" s="1">
        <v>538000</v>
      </c>
      <c r="H427" s="1">
        <v>2560262.79</v>
      </c>
      <c r="I427" s="59" t="s">
        <v>2</v>
      </c>
    </row>
    <row r="428" spans="1:9" x14ac:dyDescent="0.2">
      <c r="A428">
        <v>470</v>
      </c>
      <c r="B428">
        <v>1826100</v>
      </c>
      <c r="C428">
        <v>0</v>
      </c>
      <c r="D428" s="1">
        <v>5751.29</v>
      </c>
      <c r="E428">
        <v>499.62</v>
      </c>
      <c r="F428">
        <v>0</v>
      </c>
      <c r="G428" s="1">
        <v>12000</v>
      </c>
      <c r="H428" s="1">
        <v>10422.299999999999</v>
      </c>
      <c r="I428" s="59" t="s">
        <v>2</v>
      </c>
    </row>
    <row r="429" spans="1:9" x14ac:dyDescent="0.2">
      <c r="A429">
        <v>470</v>
      </c>
      <c r="B429">
        <v>1828200</v>
      </c>
      <c r="C429">
        <v>0</v>
      </c>
      <c r="D429" s="1">
        <v>2403.44</v>
      </c>
      <c r="E429">
        <v>292.33</v>
      </c>
      <c r="F429">
        <v>0</v>
      </c>
      <c r="G429" s="1">
        <v>2000</v>
      </c>
      <c r="H429" s="1">
        <v>2466.9699999999998</v>
      </c>
      <c r="I429" s="59" t="s">
        <v>2</v>
      </c>
    </row>
    <row r="430" spans="1:9" x14ac:dyDescent="0.2">
      <c r="A430">
        <v>470</v>
      </c>
      <c r="B430">
        <v>1841000</v>
      </c>
      <c r="C430">
        <v>0</v>
      </c>
      <c r="D430" s="1">
        <v>26046.17</v>
      </c>
      <c r="E430" s="1">
        <v>13471.37</v>
      </c>
      <c r="F430">
        <v>0</v>
      </c>
      <c r="G430" s="1">
        <v>38000</v>
      </c>
      <c r="H430" s="1">
        <v>43516.68</v>
      </c>
      <c r="I430" s="59" t="s">
        <v>2</v>
      </c>
    </row>
    <row r="431" spans="1:9" x14ac:dyDescent="0.2">
      <c r="A431">
        <v>470</v>
      </c>
      <c r="B431">
        <v>1860000</v>
      </c>
      <c r="C431">
        <v>0</v>
      </c>
      <c r="D431" s="1">
        <v>9762.14</v>
      </c>
      <c r="E431" s="1">
        <v>13476.54</v>
      </c>
      <c r="F431">
        <v>0</v>
      </c>
      <c r="G431" s="1">
        <v>1125000</v>
      </c>
      <c r="H431" s="1">
        <v>1187284.3</v>
      </c>
      <c r="I431" s="59" t="s">
        <v>2</v>
      </c>
    </row>
    <row r="432" spans="1:9" x14ac:dyDescent="0.2">
      <c r="A432">
        <v>470</v>
      </c>
      <c r="B432">
        <v>1913000</v>
      </c>
      <c r="C432">
        <v>0</v>
      </c>
      <c r="D432" s="1">
        <v>2384.85</v>
      </c>
      <c r="E432" s="1">
        <v>3777.98</v>
      </c>
      <c r="F432">
        <v>0</v>
      </c>
      <c r="G432" s="1">
        <v>10000</v>
      </c>
      <c r="H432" s="1">
        <v>22702.59</v>
      </c>
      <c r="I432" s="59" t="s">
        <v>2</v>
      </c>
    </row>
    <row r="433" spans="1:9" x14ac:dyDescent="0.2">
      <c r="A433">
        <v>470</v>
      </c>
      <c r="B433">
        <v>1933000</v>
      </c>
      <c r="C433">
        <v>0</v>
      </c>
      <c r="D433" s="1">
        <v>14952.89</v>
      </c>
      <c r="E433" s="1">
        <v>12947.71</v>
      </c>
      <c r="F433">
        <v>0</v>
      </c>
      <c r="G433" s="1">
        <v>68000</v>
      </c>
      <c r="H433" s="1">
        <v>60396.32</v>
      </c>
      <c r="I433" s="59" t="s">
        <v>2</v>
      </c>
    </row>
    <row r="434" spans="1:9" x14ac:dyDescent="0.2">
      <c r="A434">
        <v>470</v>
      </c>
      <c r="B434">
        <v>1943000</v>
      </c>
      <c r="C434">
        <v>0</v>
      </c>
      <c r="D434" s="1">
        <v>1670.41</v>
      </c>
      <c r="E434" s="1">
        <v>10930.75</v>
      </c>
      <c r="F434">
        <v>0</v>
      </c>
      <c r="G434" s="1">
        <v>672000</v>
      </c>
      <c r="H434" s="1">
        <v>856956.33</v>
      </c>
      <c r="I434" s="59">
        <f>SUM(D403:D434)/1000</f>
        <v>762.87549000000035</v>
      </c>
    </row>
    <row r="435" spans="1:9" x14ac:dyDescent="0.2">
      <c r="A435">
        <v>511</v>
      </c>
      <c r="B435">
        <v>1611000</v>
      </c>
      <c r="C435">
        <v>0</v>
      </c>
      <c r="D435" s="1">
        <v>8653.5</v>
      </c>
      <c r="E435">
        <v>0</v>
      </c>
      <c r="F435" s="1">
        <v>3614353.63</v>
      </c>
      <c r="G435">
        <v>0</v>
      </c>
      <c r="H435" s="1">
        <v>4079345.86</v>
      </c>
      <c r="I435" s="59" t="s">
        <v>2</v>
      </c>
    </row>
    <row r="436" spans="1:9" x14ac:dyDescent="0.2">
      <c r="A436">
        <v>511</v>
      </c>
      <c r="B436">
        <v>1613000</v>
      </c>
      <c r="C436">
        <v>0</v>
      </c>
      <c r="D436" s="1">
        <v>140697.60000000001</v>
      </c>
      <c r="E436" s="1">
        <v>100000</v>
      </c>
      <c r="F436">
        <v>0</v>
      </c>
      <c r="G436" s="1">
        <v>100000</v>
      </c>
      <c r="H436">
        <v>0</v>
      </c>
      <c r="I436" s="59" t="s">
        <v>2</v>
      </c>
    </row>
    <row r="437" spans="1:9" x14ac:dyDescent="0.2">
      <c r="A437">
        <v>511</v>
      </c>
      <c r="B437">
        <v>1617000</v>
      </c>
      <c r="C437">
        <v>0</v>
      </c>
      <c r="D437">
        <v>407.5</v>
      </c>
      <c r="E437" s="1">
        <v>76344.39</v>
      </c>
      <c r="F437">
        <v>0</v>
      </c>
      <c r="G437" s="1">
        <v>3604000</v>
      </c>
      <c r="H437" s="1">
        <v>3561443.76</v>
      </c>
      <c r="I437" s="59" t="s">
        <v>2</v>
      </c>
    </row>
    <row r="438" spans="1:9" x14ac:dyDescent="0.2">
      <c r="A438">
        <v>511</v>
      </c>
      <c r="B438">
        <v>1621000</v>
      </c>
      <c r="C438">
        <v>0</v>
      </c>
      <c r="D438" s="1">
        <v>1013.7</v>
      </c>
      <c r="E438">
        <v>0</v>
      </c>
      <c r="F438">
        <v>100.5</v>
      </c>
      <c r="G438">
        <v>0</v>
      </c>
      <c r="H438">
        <v>0</v>
      </c>
      <c r="I438" s="59" t="s">
        <v>2</v>
      </c>
    </row>
    <row r="439" spans="1:9" x14ac:dyDescent="0.2">
      <c r="A439">
        <v>511</v>
      </c>
      <c r="B439">
        <v>1621300</v>
      </c>
      <c r="C439">
        <v>0</v>
      </c>
      <c r="D439">
        <v>415.09</v>
      </c>
      <c r="E439">
        <v>0</v>
      </c>
      <c r="F439" s="1">
        <v>5838.38</v>
      </c>
      <c r="G439">
        <v>0</v>
      </c>
      <c r="H439" s="1">
        <v>137458.54999999999</v>
      </c>
      <c r="I439" s="59" t="s">
        <v>2</v>
      </c>
    </row>
    <row r="440" spans="1:9" x14ac:dyDescent="0.2">
      <c r="A440">
        <v>511</v>
      </c>
      <c r="B440">
        <v>1623000</v>
      </c>
      <c r="C440">
        <v>0</v>
      </c>
      <c r="D440">
        <v>79.400000000000006</v>
      </c>
      <c r="E440" s="1">
        <v>1000</v>
      </c>
      <c r="F440">
        <v>0</v>
      </c>
      <c r="G440" s="1">
        <v>1000</v>
      </c>
      <c r="H440">
        <v>656</v>
      </c>
      <c r="I440" s="59" t="s">
        <v>2</v>
      </c>
    </row>
    <row r="441" spans="1:9" x14ac:dyDescent="0.2">
      <c r="A441">
        <v>511</v>
      </c>
      <c r="B441">
        <v>1746000</v>
      </c>
      <c r="C441">
        <v>0</v>
      </c>
      <c r="D441">
        <v>828</v>
      </c>
      <c r="E441" s="1">
        <v>2242.5500000000002</v>
      </c>
      <c r="F441">
        <v>0</v>
      </c>
      <c r="G441" s="1">
        <v>161000</v>
      </c>
      <c r="H441" s="1">
        <v>144550.17000000001</v>
      </c>
      <c r="I441" s="59" t="s">
        <v>2</v>
      </c>
    </row>
    <row r="442" spans="1:9" x14ac:dyDescent="0.2">
      <c r="A442">
        <v>511</v>
      </c>
      <c r="B442">
        <v>1811000</v>
      </c>
      <c r="C442">
        <v>0</v>
      </c>
      <c r="D442">
        <v>520</v>
      </c>
      <c r="E442" s="1">
        <v>481484.31</v>
      </c>
      <c r="F442">
        <v>0</v>
      </c>
      <c r="G442" s="1">
        <v>3808000</v>
      </c>
      <c r="H442" s="1">
        <v>3591855.41</v>
      </c>
      <c r="I442" s="59">
        <f>SUM(D435:D442)/1000</f>
        <v>152.61479</v>
      </c>
    </row>
    <row r="443" spans="1:9" x14ac:dyDescent="0.2">
      <c r="A443">
        <v>513</v>
      </c>
      <c r="B443">
        <v>1754000</v>
      </c>
      <c r="C443">
        <v>0</v>
      </c>
      <c r="D443" s="1">
        <v>15191</v>
      </c>
      <c r="E443" s="1">
        <v>1169.8</v>
      </c>
      <c r="F443">
        <v>0</v>
      </c>
      <c r="G443" s="1">
        <v>3000</v>
      </c>
      <c r="H443" s="1">
        <v>4106.41</v>
      </c>
      <c r="I443" s="59">
        <f>D443/1000</f>
        <v>15.191000000000001</v>
      </c>
    </row>
    <row r="444" spans="1:9" x14ac:dyDescent="0.2">
      <c r="A444">
        <v>522</v>
      </c>
      <c r="B444">
        <v>1617000</v>
      </c>
      <c r="C444">
        <v>0</v>
      </c>
      <c r="D444" s="1">
        <v>1170</v>
      </c>
      <c r="E444">
        <v>0</v>
      </c>
      <c r="F444" s="1">
        <v>1682.84</v>
      </c>
      <c r="G444" s="1">
        <v>184000</v>
      </c>
      <c r="H444" s="1">
        <v>189463.27</v>
      </c>
      <c r="I444" s="59">
        <f>D444/1000</f>
        <v>1.17</v>
      </c>
    </row>
    <row r="445" spans="1:9" x14ac:dyDescent="0.2">
      <c r="A445">
        <v>530</v>
      </c>
      <c r="B445">
        <v>1712210</v>
      </c>
      <c r="C445">
        <v>0</v>
      </c>
      <c r="D445" s="1">
        <v>94952</v>
      </c>
      <c r="E445" s="1">
        <v>1547.7</v>
      </c>
      <c r="F445">
        <v>0</v>
      </c>
      <c r="G445" s="1">
        <v>4000</v>
      </c>
      <c r="H445">
        <v>0</v>
      </c>
      <c r="I445" s="59" t="s">
        <v>2</v>
      </c>
    </row>
    <row r="446" spans="1:9" x14ac:dyDescent="0.2">
      <c r="A446">
        <v>530</v>
      </c>
      <c r="B446">
        <v>1712220</v>
      </c>
      <c r="C446">
        <v>0</v>
      </c>
      <c r="D446" s="1">
        <v>63262</v>
      </c>
      <c r="E446">
        <v>0</v>
      </c>
      <c r="F446">
        <v>0</v>
      </c>
      <c r="G446">
        <v>0</v>
      </c>
      <c r="H446" s="1">
        <v>45784.89</v>
      </c>
      <c r="I446" s="59" t="s">
        <v>2</v>
      </c>
    </row>
    <row r="447" spans="1:9" x14ac:dyDescent="0.2">
      <c r="A447">
        <v>530</v>
      </c>
      <c r="B447">
        <v>1712230</v>
      </c>
      <c r="C447">
        <v>0</v>
      </c>
      <c r="D447" s="1">
        <v>34997</v>
      </c>
      <c r="E447">
        <v>206.6</v>
      </c>
      <c r="F447">
        <v>0</v>
      </c>
      <c r="G447" s="1">
        <v>101000</v>
      </c>
      <c r="H447" s="1">
        <v>669623.4</v>
      </c>
      <c r="I447" s="59">
        <f>SUM(D445:D447)/1000</f>
        <v>193.21100000000001</v>
      </c>
    </row>
    <row r="448" spans="1:9" x14ac:dyDescent="0.2">
      <c r="A448">
        <v>531</v>
      </c>
      <c r="B448">
        <v>1611000</v>
      </c>
      <c r="C448">
        <v>0</v>
      </c>
      <c r="D448" s="1">
        <v>65196.37</v>
      </c>
      <c r="E448">
        <v>0</v>
      </c>
      <c r="F448">
        <v>0</v>
      </c>
      <c r="G448">
        <v>0</v>
      </c>
      <c r="H448" s="1">
        <v>104057.99</v>
      </c>
      <c r="I448" s="59" t="s">
        <v>2</v>
      </c>
    </row>
    <row r="449" spans="1:9" x14ac:dyDescent="0.2">
      <c r="A449">
        <v>531</v>
      </c>
      <c r="B449">
        <v>1612000</v>
      </c>
      <c r="C449">
        <v>0</v>
      </c>
      <c r="D449" s="1">
        <v>9126.66</v>
      </c>
      <c r="E449" s="1">
        <v>27115.02</v>
      </c>
      <c r="F449">
        <v>0</v>
      </c>
      <c r="G449" s="1">
        <v>750000</v>
      </c>
      <c r="H449" s="1">
        <v>850647.81</v>
      </c>
      <c r="I449" s="59" t="s">
        <v>2</v>
      </c>
    </row>
    <row r="450" spans="1:9" x14ac:dyDescent="0.2">
      <c r="A450">
        <v>531</v>
      </c>
      <c r="B450">
        <v>1613000</v>
      </c>
      <c r="C450">
        <v>0</v>
      </c>
      <c r="D450" s="1">
        <v>19631.63</v>
      </c>
      <c r="E450">
        <v>0</v>
      </c>
      <c r="F450">
        <v>0</v>
      </c>
      <c r="G450">
        <v>0</v>
      </c>
      <c r="H450" s="1">
        <v>1545.43</v>
      </c>
      <c r="I450" s="59" t="s">
        <v>2</v>
      </c>
    </row>
    <row r="451" spans="1:9" x14ac:dyDescent="0.2">
      <c r="A451">
        <v>531</v>
      </c>
      <c r="B451">
        <v>1617000</v>
      </c>
      <c r="C451">
        <v>0</v>
      </c>
      <c r="D451" s="1">
        <v>4610.01</v>
      </c>
      <c r="E451">
        <v>809</v>
      </c>
      <c r="F451">
        <v>0</v>
      </c>
      <c r="G451" s="1">
        <v>16000</v>
      </c>
      <c r="H451" s="1">
        <v>77676.39</v>
      </c>
      <c r="I451" s="59" t="s">
        <v>2</v>
      </c>
    </row>
    <row r="452" spans="1:9" x14ac:dyDescent="0.2">
      <c r="A452">
        <v>531</v>
      </c>
      <c r="B452">
        <v>1621000</v>
      </c>
      <c r="C452">
        <v>0</v>
      </c>
      <c r="D452" s="1">
        <v>11076.08</v>
      </c>
      <c r="E452" s="1">
        <v>16650.25</v>
      </c>
      <c r="F452">
        <v>0</v>
      </c>
      <c r="G452" s="1">
        <v>1622000</v>
      </c>
      <c r="H452" s="1">
        <v>1740378.41</v>
      </c>
      <c r="I452" s="59" t="s">
        <v>2</v>
      </c>
    </row>
    <row r="453" spans="1:9" x14ac:dyDescent="0.2">
      <c r="A453">
        <v>531</v>
      </c>
      <c r="B453">
        <v>1711000</v>
      </c>
      <c r="C453">
        <v>0</v>
      </c>
      <c r="D453" s="1">
        <v>246971.23</v>
      </c>
      <c r="E453">
        <v>0</v>
      </c>
      <c r="F453" s="1">
        <v>2244</v>
      </c>
      <c r="G453">
        <v>0</v>
      </c>
      <c r="H453" s="1">
        <v>47806.07</v>
      </c>
      <c r="I453" s="59" t="s">
        <v>2</v>
      </c>
    </row>
    <row r="454" spans="1:9" x14ac:dyDescent="0.2">
      <c r="A454">
        <v>531</v>
      </c>
      <c r="B454">
        <v>1712200</v>
      </c>
      <c r="C454">
        <v>0</v>
      </c>
      <c r="D454" s="1">
        <v>55939.93</v>
      </c>
      <c r="E454" s="1">
        <v>1419</v>
      </c>
      <c r="F454">
        <v>0</v>
      </c>
      <c r="G454" s="1">
        <v>2000</v>
      </c>
      <c r="H454">
        <v>0</v>
      </c>
      <c r="I454" s="59" t="s">
        <v>2</v>
      </c>
    </row>
    <row r="455" spans="1:9" x14ac:dyDescent="0.2">
      <c r="A455">
        <v>531</v>
      </c>
      <c r="B455">
        <v>1712300</v>
      </c>
      <c r="C455">
        <v>0</v>
      </c>
      <c r="D455" s="1">
        <v>425180.55</v>
      </c>
      <c r="E455">
        <v>92.5</v>
      </c>
      <c r="F455">
        <v>0</v>
      </c>
      <c r="G455" s="1">
        <v>1000</v>
      </c>
      <c r="H455" s="1">
        <v>1021.82</v>
      </c>
      <c r="I455" s="59" t="s">
        <v>2</v>
      </c>
    </row>
    <row r="456" spans="1:9" x14ac:dyDescent="0.2">
      <c r="A456">
        <v>531</v>
      </c>
      <c r="B456">
        <v>1721000</v>
      </c>
      <c r="C456">
        <v>0</v>
      </c>
      <c r="D456">
        <v>534.75</v>
      </c>
      <c r="E456" s="1">
        <v>1000</v>
      </c>
      <c r="F456">
        <v>0</v>
      </c>
      <c r="G456" s="1">
        <v>1000</v>
      </c>
      <c r="H456">
        <v>0</v>
      </c>
      <c r="I456" s="59" t="s">
        <v>2</v>
      </c>
    </row>
    <row r="457" spans="1:9" x14ac:dyDescent="0.2">
      <c r="A457">
        <v>531</v>
      </c>
      <c r="B457">
        <v>1733000</v>
      </c>
      <c r="C457">
        <v>0</v>
      </c>
      <c r="D457" s="1">
        <v>11500.38</v>
      </c>
      <c r="E457" s="1">
        <v>1000</v>
      </c>
      <c r="F457">
        <v>0</v>
      </c>
      <c r="G457" s="1">
        <v>1000</v>
      </c>
      <c r="H457">
        <v>0</v>
      </c>
      <c r="I457" s="59" t="s">
        <v>2</v>
      </c>
    </row>
    <row r="458" spans="1:9" x14ac:dyDescent="0.2">
      <c r="A458">
        <v>531</v>
      </c>
      <c r="B458">
        <v>1746000</v>
      </c>
      <c r="C458">
        <v>0</v>
      </c>
      <c r="D458" s="1">
        <v>47902.73</v>
      </c>
      <c r="E458" s="1">
        <v>2969.51</v>
      </c>
      <c r="F458">
        <v>0</v>
      </c>
      <c r="G458" s="1">
        <v>180000</v>
      </c>
      <c r="H458" s="1">
        <v>180608.45</v>
      </c>
      <c r="I458" s="59" t="s">
        <v>2</v>
      </c>
    </row>
    <row r="459" spans="1:9" x14ac:dyDescent="0.2">
      <c r="A459">
        <v>531</v>
      </c>
      <c r="B459">
        <v>1811000</v>
      </c>
      <c r="C459">
        <v>0</v>
      </c>
      <c r="D459" s="1">
        <v>48197.06</v>
      </c>
      <c r="E459" s="1">
        <v>1000</v>
      </c>
      <c r="F459">
        <v>0</v>
      </c>
      <c r="G459" s="1">
        <v>1000</v>
      </c>
      <c r="H459">
        <v>0</v>
      </c>
      <c r="I459" s="59" t="s">
        <v>2</v>
      </c>
    </row>
    <row r="460" spans="1:9" x14ac:dyDescent="0.2">
      <c r="A460">
        <v>531</v>
      </c>
      <c r="B460">
        <v>1817910</v>
      </c>
      <c r="C460">
        <v>0</v>
      </c>
      <c r="D460" s="1">
        <v>33825.06</v>
      </c>
      <c r="E460">
        <v>0</v>
      </c>
      <c r="F460">
        <v>0</v>
      </c>
      <c r="G460" s="1">
        <v>1000</v>
      </c>
      <c r="H460">
        <v>0</v>
      </c>
      <c r="I460" s="59" t="s">
        <v>2</v>
      </c>
    </row>
    <row r="461" spans="1:9" x14ac:dyDescent="0.2">
      <c r="A461">
        <v>531</v>
      </c>
      <c r="B461">
        <v>1821000</v>
      </c>
      <c r="C461">
        <v>0</v>
      </c>
      <c r="D461" s="1">
        <v>9870.27</v>
      </c>
      <c r="E461">
        <v>80</v>
      </c>
      <c r="F461">
        <v>0</v>
      </c>
      <c r="G461" s="1">
        <v>220000</v>
      </c>
      <c r="H461" s="1">
        <v>21369</v>
      </c>
      <c r="I461" s="59" t="s">
        <v>2</v>
      </c>
    </row>
    <row r="462" spans="1:9" x14ac:dyDescent="0.2">
      <c r="A462">
        <v>531</v>
      </c>
      <c r="B462">
        <v>1822200</v>
      </c>
      <c r="C462">
        <v>0</v>
      </c>
      <c r="D462" s="1">
        <v>6960.51</v>
      </c>
      <c r="E462">
        <v>451</v>
      </c>
      <c r="F462">
        <v>0</v>
      </c>
      <c r="G462" s="1">
        <v>1000</v>
      </c>
      <c r="H462">
        <v>642</v>
      </c>
      <c r="I462" s="59" t="s">
        <v>2</v>
      </c>
    </row>
    <row r="463" spans="1:9" x14ac:dyDescent="0.2">
      <c r="A463">
        <v>531</v>
      </c>
      <c r="B463">
        <v>1841000</v>
      </c>
      <c r="C463">
        <v>0</v>
      </c>
      <c r="D463">
        <v>398.02</v>
      </c>
      <c r="E463">
        <v>0</v>
      </c>
      <c r="F463" s="1">
        <v>340659.67</v>
      </c>
      <c r="G463" s="1">
        <v>950000</v>
      </c>
      <c r="H463" s="1">
        <v>1094451.23</v>
      </c>
      <c r="I463" s="59" t="s">
        <v>2</v>
      </c>
    </row>
    <row r="464" spans="1:9" x14ac:dyDescent="0.2">
      <c r="A464">
        <v>531</v>
      </c>
      <c r="B464">
        <v>1913000</v>
      </c>
      <c r="C464">
        <v>0</v>
      </c>
      <c r="D464" s="1">
        <v>15797.34</v>
      </c>
      <c r="E464" s="1">
        <v>220090</v>
      </c>
      <c r="F464">
        <v>0</v>
      </c>
      <c r="G464" s="1">
        <v>2075000</v>
      </c>
      <c r="H464" s="1">
        <v>2020292.4</v>
      </c>
      <c r="I464" s="59" t="s">
        <v>2</v>
      </c>
    </row>
    <row r="465" spans="1:9" x14ac:dyDescent="0.2">
      <c r="A465">
        <v>531</v>
      </c>
      <c r="B465">
        <v>1943000</v>
      </c>
      <c r="C465">
        <v>0</v>
      </c>
      <c r="D465" s="1">
        <v>2870.54</v>
      </c>
      <c r="E465">
        <v>0</v>
      </c>
      <c r="F465" s="1">
        <v>287147.03999999998</v>
      </c>
      <c r="G465">
        <v>0</v>
      </c>
      <c r="H465">
        <v>0</v>
      </c>
      <c r="I465" s="59">
        <f>SUM(D448:D465)/1000</f>
        <v>1015.58912</v>
      </c>
    </row>
    <row r="466" spans="1:9" x14ac:dyDescent="0.2">
      <c r="A466">
        <v>532</v>
      </c>
      <c r="B466">
        <v>1611000</v>
      </c>
      <c r="C466">
        <v>0</v>
      </c>
      <c r="D466" s="1">
        <v>32932</v>
      </c>
      <c r="E466">
        <v>808.99</v>
      </c>
      <c r="F466">
        <v>0</v>
      </c>
      <c r="G466" s="1">
        <v>2000</v>
      </c>
      <c r="H466">
        <v>397.94</v>
      </c>
      <c r="I466" s="59" t="s">
        <v>2</v>
      </c>
    </row>
    <row r="467" spans="1:9" x14ac:dyDescent="0.2">
      <c r="A467">
        <v>532</v>
      </c>
      <c r="B467">
        <v>1612000</v>
      </c>
      <c r="C467">
        <v>0</v>
      </c>
      <c r="D467" s="1">
        <v>2779.46</v>
      </c>
      <c r="E467">
        <v>478.3</v>
      </c>
      <c r="F467">
        <v>0</v>
      </c>
      <c r="G467" s="1">
        <v>2000</v>
      </c>
      <c r="H467" s="1">
        <v>9737.5</v>
      </c>
      <c r="I467" s="59" t="s">
        <v>2</v>
      </c>
    </row>
    <row r="468" spans="1:9" x14ac:dyDescent="0.2">
      <c r="A468">
        <v>532</v>
      </c>
      <c r="B468">
        <v>1613000</v>
      </c>
      <c r="C468">
        <v>0</v>
      </c>
      <c r="D468" s="1">
        <v>8956.65</v>
      </c>
      <c r="E468">
        <v>0</v>
      </c>
      <c r="F468" s="1">
        <v>22951.78</v>
      </c>
      <c r="G468" s="1">
        <v>10000</v>
      </c>
      <c r="H468" s="1">
        <v>17099.400000000001</v>
      </c>
      <c r="I468" s="59" t="s">
        <v>2</v>
      </c>
    </row>
    <row r="469" spans="1:9" x14ac:dyDescent="0.2">
      <c r="A469">
        <v>532</v>
      </c>
      <c r="B469">
        <v>1617000</v>
      </c>
      <c r="C469">
        <v>0</v>
      </c>
      <c r="D469">
        <v>816.01</v>
      </c>
      <c r="E469">
        <v>0</v>
      </c>
      <c r="F469">
        <v>0</v>
      </c>
      <c r="G469">
        <v>0</v>
      </c>
      <c r="H469" s="1">
        <v>312830</v>
      </c>
      <c r="I469" s="59" t="s">
        <v>2</v>
      </c>
    </row>
    <row r="470" spans="1:9" x14ac:dyDescent="0.2">
      <c r="A470">
        <v>532</v>
      </c>
      <c r="B470">
        <v>1621000</v>
      </c>
      <c r="C470">
        <v>0</v>
      </c>
      <c r="D470">
        <v>539.30999999999995</v>
      </c>
      <c r="E470">
        <v>0</v>
      </c>
      <c r="F470">
        <v>0</v>
      </c>
      <c r="G470" s="1">
        <v>100000</v>
      </c>
      <c r="H470" s="1">
        <v>201146</v>
      </c>
      <c r="I470" s="59" t="s">
        <v>2</v>
      </c>
    </row>
    <row r="471" spans="1:9" x14ac:dyDescent="0.2">
      <c r="A471">
        <v>532</v>
      </c>
      <c r="B471">
        <v>1711000</v>
      </c>
      <c r="C471">
        <v>0</v>
      </c>
      <c r="D471" s="1">
        <v>208122.47</v>
      </c>
      <c r="E471" s="1">
        <v>62598.46</v>
      </c>
      <c r="F471">
        <v>0</v>
      </c>
      <c r="G471" s="1">
        <v>1824000</v>
      </c>
      <c r="H471" s="1">
        <v>1257557.3600000001</v>
      </c>
      <c r="I471" s="59" t="s">
        <v>2</v>
      </c>
    </row>
    <row r="472" spans="1:9" x14ac:dyDescent="0.2">
      <c r="A472">
        <v>532</v>
      </c>
      <c r="B472">
        <v>1711200</v>
      </c>
      <c r="C472">
        <v>0</v>
      </c>
      <c r="D472">
        <v>59.5</v>
      </c>
      <c r="E472" s="1">
        <v>2716.1</v>
      </c>
      <c r="F472">
        <v>0</v>
      </c>
      <c r="G472" s="1">
        <v>1036000</v>
      </c>
      <c r="H472" s="1">
        <v>1007868.12</v>
      </c>
      <c r="I472" s="59" t="s">
        <v>2</v>
      </c>
    </row>
    <row r="473" spans="1:9" x14ac:dyDescent="0.2">
      <c r="A473">
        <v>532</v>
      </c>
      <c r="B473">
        <v>1712200</v>
      </c>
      <c r="C473">
        <v>0</v>
      </c>
      <c r="D473" s="1">
        <v>93341.03</v>
      </c>
      <c r="E473">
        <v>948.98</v>
      </c>
      <c r="F473">
        <v>0</v>
      </c>
      <c r="G473" s="1">
        <v>2000</v>
      </c>
      <c r="H473">
        <v>426.64</v>
      </c>
      <c r="I473" s="59" t="s">
        <v>2</v>
      </c>
    </row>
    <row r="474" spans="1:9" x14ac:dyDescent="0.2">
      <c r="A474">
        <v>532</v>
      </c>
      <c r="B474">
        <v>1712300</v>
      </c>
      <c r="C474">
        <v>0</v>
      </c>
      <c r="D474" s="1">
        <v>452725.06</v>
      </c>
      <c r="E474">
        <v>0</v>
      </c>
      <c r="F474" s="1">
        <v>21103</v>
      </c>
      <c r="G474" s="1">
        <v>30000</v>
      </c>
      <c r="H474" s="1">
        <v>50340.2</v>
      </c>
      <c r="I474" s="59" t="s">
        <v>2</v>
      </c>
    </row>
    <row r="475" spans="1:9" x14ac:dyDescent="0.2">
      <c r="A475">
        <v>532</v>
      </c>
      <c r="B475">
        <v>1715300</v>
      </c>
      <c r="C475">
        <v>0</v>
      </c>
      <c r="D475" s="1">
        <v>14445</v>
      </c>
      <c r="E475" s="1">
        <v>124789.12</v>
      </c>
      <c r="F475">
        <v>0</v>
      </c>
      <c r="G475" s="1">
        <v>3404000</v>
      </c>
      <c r="H475" s="1">
        <v>3509936.62</v>
      </c>
      <c r="I475" s="59" t="s">
        <v>2</v>
      </c>
    </row>
    <row r="476" spans="1:9" x14ac:dyDescent="0.2">
      <c r="A476">
        <v>532</v>
      </c>
      <c r="B476">
        <v>1721000</v>
      </c>
      <c r="C476">
        <v>0</v>
      </c>
      <c r="D476" s="1">
        <v>5663.26</v>
      </c>
      <c r="E476">
        <v>0</v>
      </c>
      <c r="F476" s="1">
        <v>66109</v>
      </c>
      <c r="G476">
        <v>0</v>
      </c>
      <c r="H476" s="1">
        <v>519739</v>
      </c>
      <c r="I476" s="59" t="s">
        <v>2</v>
      </c>
    </row>
    <row r="477" spans="1:9" x14ac:dyDescent="0.2">
      <c r="A477">
        <v>532</v>
      </c>
      <c r="B477">
        <v>1731000</v>
      </c>
      <c r="C477">
        <v>0</v>
      </c>
      <c r="D477" s="1">
        <v>1170</v>
      </c>
      <c r="E477" s="1">
        <v>3896.25</v>
      </c>
      <c r="F477">
        <v>0</v>
      </c>
      <c r="G477" s="1">
        <v>30000</v>
      </c>
      <c r="H477" s="1">
        <v>18682.599999999999</v>
      </c>
      <c r="I477" s="59" t="s">
        <v>2</v>
      </c>
    </row>
    <row r="478" spans="1:9" x14ac:dyDescent="0.2">
      <c r="A478">
        <v>532</v>
      </c>
      <c r="B478">
        <v>1733000</v>
      </c>
      <c r="C478">
        <v>0</v>
      </c>
      <c r="D478" s="1">
        <v>1707.67</v>
      </c>
      <c r="E478" s="1">
        <v>2480</v>
      </c>
      <c r="F478">
        <v>0</v>
      </c>
      <c r="G478" s="1">
        <v>3000</v>
      </c>
      <c r="H478" s="1">
        <v>8083</v>
      </c>
      <c r="I478" s="59" t="s">
        <v>2</v>
      </c>
    </row>
    <row r="479" spans="1:9" x14ac:dyDescent="0.2">
      <c r="A479">
        <v>532</v>
      </c>
      <c r="B479">
        <v>1741000</v>
      </c>
      <c r="C479">
        <v>0</v>
      </c>
      <c r="D479" s="1">
        <v>6222.02</v>
      </c>
      <c r="E479" s="1">
        <v>3802.94</v>
      </c>
      <c r="F479">
        <v>0</v>
      </c>
      <c r="G479" s="1">
        <v>52000</v>
      </c>
      <c r="H479" s="1">
        <v>42290.65</v>
      </c>
      <c r="I479" s="59" t="s">
        <v>2</v>
      </c>
    </row>
    <row r="480" spans="1:9" x14ac:dyDescent="0.2">
      <c r="A480">
        <v>532</v>
      </c>
      <c r="B480">
        <v>1746000</v>
      </c>
      <c r="C480">
        <v>0</v>
      </c>
      <c r="D480" s="1">
        <v>53996.42</v>
      </c>
      <c r="E480">
        <v>0</v>
      </c>
      <c r="F480" s="1">
        <v>1360.61</v>
      </c>
      <c r="G480" s="1">
        <v>5000</v>
      </c>
      <c r="H480" s="1">
        <v>7499.04</v>
      </c>
      <c r="I480" s="59" t="s">
        <v>2</v>
      </c>
    </row>
    <row r="481" spans="1:9" x14ac:dyDescent="0.2">
      <c r="A481">
        <v>532</v>
      </c>
      <c r="B481">
        <v>1811000</v>
      </c>
      <c r="C481">
        <v>0</v>
      </c>
      <c r="D481" s="1">
        <v>6360.61</v>
      </c>
      <c r="E481" s="1">
        <v>5778.21</v>
      </c>
      <c r="F481">
        <v>0</v>
      </c>
      <c r="G481" s="1">
        <v>144000</v>
      </c>
      <c r="H481" s="1">
        <v>99696.45</v>
      </c>
      <c r="I481" s="59" t="s">
        <v>2</v>
      </c>
    </row>
    <row r="482" spans="1:9" x14ac:dyDescent="0.2">
      <c r="A482">
        <v>532</v>
      </c>
      <c r="B482">
        <v>1817900</v>
      </c>
      <c r="C482">
        <v>0</v>
      </c>
      <c r="D482" s="1">
        <v>2100</v>
      </c>
      <c r="E482">
        <v>0</v>
      </c>
      <c r="F482" s="1">
        <v>425009.32</v>
      </c>
      <c r="G482" s="1">
        <v>986000</v>
      </c>
      <c r="H482">
        <v>0</v>
      </c>
      <c r="I482" s="59" t="s">
        <v>2</v>
      </c>
    </row>
    <row r="483" spans="1:9" x14ac:dyDescent="0.2">
      <c r="A483">
        <v>532</v>
      </c>
      <c r="B483">
        <v>1817910</v>
      </c>
      <c r="C483">
        <v>0</v>
      </c>
      <c r="D483" s="1">
        <v>32816.400000000001</v>
      </c>
      <c r="E483" s="1">
        <v>8971.0499999999993</v>
      </c>
      <c r="F483">
        <v>0</v>
      </c>
      <c r="G483" s="1">
        <v>80000</v>
      </c>
      <c r="H483" s="1">
        <v>80954.87</v>
      </c>
      <c r="I483" s="59" t="s">
        <v>2</v>
      </c>
    </row>
    <row r="484" spans="1:9" x14ac:dyDescent="0.2">
      <c r="A484">
        <v>532</v>
      </c>
      <c r="B484">
        <v>1821000</v>
      </c>
      <c r="C484">
        <v>0</v>
      </c>
      <c r="D484" s="1">
        <v>1808.69</v>
      </c>
      <c r="E484">
        <v>0</v>
      </c>
      <c r="F484" s="1">
        <v>20478.05</v>
      </c>
      <c r="G484">
        <v>0</v>
      </c>
      <c r="H484">
        <v>0</v>
      </c>
      <c r="I484" s="59" t="s">
        <v>2</v>
      </c>
    </row>
    <row r="485" spans="1:9" x14ac:dyDescent="0.2">
      <c r="A485">
        <v>532</v>
      </c>
      <c r="B485">
        <v>1822200</v>
      </c>
      <c r="C485">
        <v>0</v>
      </c>
      <c r="D485" s="1">
        <v>5935.74</v>
      </c>
      <c r="E485" s="1">
        <v>16565</v>
      </c>
      <c r="F485">
        <v>0</v>
      </c>
      <c r="G485">
        <v>0</v>
      </c>
      <c r="H485" s="1">
        <v>5418</v>
      </c>
      <c r="I485" s="59" t="s">
        <v>2</v>
      </c>
    </row>
    <row r="486" spans="1:9" x14ac:dyDescent="0.2">
      <c r="A486">
        <v>532</v>
      </c>
      <c r="B486">
        <v>1828000</v>
      </c>
      <c r="C486">
        <v>0</v>
      </c>
      <c r="D486">
        <v>234</v>
      </c>
      <c r="E486">
        <v>0</v>
      </c>
      <c r="F486" s="1">
        <v>53093.919999999998</v>
      </c>
      <c r="G486">
        <v>0</v>
      </c>
      <c r="H486">
        <v>0</v>
      </c>
      <c r="I486" s="59" t="s">
        <v>2</v>
      </c>
    </row>
    <row r="487" spans="1:9" x14ac:dyDescent="0.2">
      <c r="A487">
        <v>532</v>
      </c>
      <c r="B487">
        <v>1841000</v>
      </c>
      <c r="C487">
        <v>0</v>
      </c>
      <c r="D487">
        <v>234</v>
      </c>
      <c r="E487" s="1">
        <v>3420.5</v>
      </c>
      <c r="F487">
        <v>0</v>
      </c>
      <c r="G487" s="1">
        <v>4000</v>
      </c>
      <c r="H487">
        <v>0</v>
      </c>
      <c r="I487" s="59" t="s">
        <v>2</v>
      </c>
    </row>
    <row r="488" spans="1:9" x14ac:dyDescent="0.2">
      <c r="A488">
        <v>532</v>
      </c>
      <c r="B488">
        <v>1913000</v>
      </c>
      <c r="C488">
        <v>0</v>
      </c>
      <c r="D488" s="1">
        <v>18414.900000000001</v>
      </c>
      <c r="E488">
        <v>0</v>
      </c>
      <c r="F488" s="1">
        <v>100177.37</v>
      </c>
      <c r="G488" s="1">
        <v>3568000</v>
      </c>
      <c r="H488" s="1">
        <v>3473803.69</v>
      </c>
      <c r="I488" s="59" t="s">
        <v>2</v>
      </c>
    </row>
    <row r="489" spans="1:9" x14ac:dyDescent="0.2">
      <c r="A489">
        <v>532</v>
      </c>
      <c r="B489">
        <v>1943000</v>
      </c>
      <c r="C489">
        <v>0</v>
      </c>
      <c r="D489" s="1">
        <v>4971</v>
      </c>
      <c r="E489" s="1">
        <v>1000</v>
      </c>
      <c r="F489">
        <v>0</v>
      </c>
      <c r="G489" s="1">
        <v>1000</v>
      </c>
      <c r="H489">
        <v>0</v>
      </c>
      <c r="I489" s="59">
        <f>SUM(D466:D489)/1000</f>
        <v>956.35120000000006</v>
      </c>
    </row>
    <row r="490" spans="1:9" x14ac:dyDescent="0.2">
      <c r="A490">
        <v>533</v>
      </c>
      <c r="B490">
        <v>1611000</v>
      </c>
      <c r="C490">
        <v>0</v>
      </c>
      <c r="D490" s="1">
        <v>11237</v>
      </c>
      <c r="E490" s="1">
        <v>351105.79</v>
      </c>
      <c r="F490">
        <v>0</v>
      </c>
      <c r="G490" s="1">
        <v>1596000</v>
      </c>
      <c r="H490" s="1">
        <v>1735794.82</v>
      </c>
      <c r="I490" s="59" t="s">
        <v>2</v>
      </c>
    </row>
    <row r="491" spans="1:9" x14ac:dyDescent="0.2">
      <c r="A491">
        <v>533</v>
      </c>
      <c r="B491">
        <v>1613000</v>
      </c>
      <c r="C491">
        <v>0</v>
      </c>
      <c r="D491">
        <v>227</v>
      </c>
      <c r="E491" s="1">
        <v>86778.32</v>
      </c>
      <c r="F491">
        <v>0</v>
      </c>
      <c r="G491" s="1">
        <v>2975000</v>
      </c>
      <c r="H491" s="1">
        <v>3111307.96</v>
      </c>
      <c r="I491" s="59" t="s">
        <v>2</v>
      </c>
    </row>
    <row r="492" spans="1:9" x14ac:dyDescent="0.2">
      <c r="A492">
        <v>533</v>
      </c>
      <c r="B492">
        <v>1711000</v>
      </c>
      <c r="C492">
        <v>0</v>
      </c>
      <c r="D492" s="1">
        <v>77481</v>
      </c>
      <c r="E492">
        <v>0</v>
      </c>
      <c r="F492" s="1">
        <v>67956</v>
      </c>
      <c r="G492">
        <v>0</v>
      </c>
      <c r="H492" s="1">
        <v>93526.51</v>
      </c>
      <c r="I492" s="59" t="s">
        <v>2</v>
      </c>
    </row>
    <row r="493" spans="1:9" x14ac:dyDescent="0.2">
      <c r="A493">
        <v>533</v>
      </c>
      <c r="B493">
        <v>1712200</v>
      </c>
      <c r="C493">
        <v>0</v>
      </c>
      <c r="D493" s="1">
        <v>36593</v>
      </c>
      <c r="E493" s="1">
        <v>4740.92</v>
      </c>
      <c r="F493">
        <v>0</v>
      </c>
      <c r="G493" s="1">
        <v>52000</v>
      </c>
      <c r="H493">
        <v>0</v>
      </c>
      <c r="I493" s="59" t="s">
        <v>2</v>
      </c>
    </row>
    <row r="494" spans="1:9" x14ac:dyDescent="0.2">
      <c r="A494">
        <v>533</v>
      </c>
      <c r="B494">
        <v>1712300</v>
      </c>
      <c r="C494">
        <v>0</v>
      </c>
      <c r="D494" s="1">
        <v>58916</v>
      </c>
      <c r="E494" s="1">
        <v>4801.3</v>
      </c>
      <c r="F494">
        <v>0</v>
      </c>
      <c r="G494" s="1">
        <v>60000</v>
      </c>
      <c r="H494">
        <v>0</v>
      </c>
      <c r="I494" s="59" t="s">
        <v>2</v>
      </c>
    </row>
    <row r="495" spans="1:9" x14ac:dyDescent="0.2">
      <c r="A495">
        <v>533</v>
      </c>
      <c r="B495">
        <v>1721000</v>
      </c>
      <c r="C495">
        <v>0</v>
      </c>
      <c r="D495">
        <v>-246</v>
      </c>
      <c r="E495" s="1">
        <v>1396.36</v>
      </c>
      <c r="F495">
        <v>0</v>
      </c>
      <c r="G495" s="1">
        <v>10000</v>
      </c>
      <c r="H495">
        <v>0</v>
      </c>
      <c r="I495" s="59" t="s">
        <v>2</v>
      </c>
    </row>
    <row r="496" spans="1:9" x14ac:dyDescent="0.2">
      <c r="A496">
        <v>533</v>
      </c>
      <c r="B496">
        <v>1746000</v>
      </c>
      <c r="C496">
        <v>0</v>
      </c>
      <c r="D496" s="1">
        <v>12050</v>
      </c>
      <c r="E496" s="1">
        <v>2964.66</v>
      </c>
      <c r="F496">
        <v>0</v>
      </c>
      <c r="G496" s="1">
        <v>21000</v>
      </c>
      <c r="H496">
        <v>0</v>
      </c>
      <c r="I496" s="59" t="s">
        <v>2</v>
      </c>
    </row>
    <row r="497" spans="1:9" x14ac:dyDescent="0.2">
      <c r="A497">
        <v>533</v>
      </c>
      <c r="B497">
        <v>1817910</v>
      </c>
      <c r="C497">
        <v>0</v>
      </c>
      <c r="D497" s="1">
        <v>8383</v>
      </c>
      <c r="E497" s="1">
        <v>1720.5</v>
      </c>
      <c r="F497">
        <v>0</v>
      </c>
      <c r="G497" s="1">
        <v>41000</v>
      </c>
      <c r="H497">
        <v>0</v>
      </c>
      <c r="I497" s="59" t="s">
        <v>2</v>
      </c>
    </row>
    <row r="498" spans="1:9" x14ac:dyDescent="0.2">
      <c r="A498">
        <v>533</v>
      </c>
      <c r="B498">
        <v>1822200</v>
      </c>
      <c r="C498">
        <v>0</v>
      </c>
      <c r="D498">
        <v>68</v>
      </c>
      <c r="E498">
        <v>0</v>
      </c>
      <c r="F498">
        <v>348.92</v>
      </c>
      <c r="G498" s="1">
        <v>8000</v>
      </c>
      <c r="H498">
        <v>0</v>
      </c>
      <c r="I498" s="59" t="s">
        <v>2</v>
      </c>
    </row>
    <row r="499" spans="1:9" x14ac:dyDescent="0.2">
      <c r="A499">
        <v>533</v>
      </c>
      <c r="B499">
        <v>1828000</v>
      </c>
      <c r="C499">
        <v>0</v>
      </c>
      <c r="D499">
        <v>136</v>
      </c>
      <c r="E499">
        <v>662.69</v>
      </c>
      <c r="F499">
        <v>0</v>
      </c>
      <c r="G499" s="1">
        <v>14000</v>
      </c>
      <c r="H499">
        <v>0</v>
      </c>
      <c r="I499" s="59" t="s">
        <v>2</v>
      </c>
    </row>
    <row r="500" spans="1:9" x14ac:dyDescent="0.2">
      <c r="A500">
        <v>533</v>
      </c>
      <c r="B500">
        <v>1841000</v>
      </c>
      <c r="C500">
        <v>0</v>
      </c>
      <c r="D500" s="1">
        <v>1036</v>
      </c>
      <c r="E500" s="1">
        <v>1000</v>
      </c>
      <c r="F500">
        <v>0</v>
      </c>
      <c r="G500" s="1">
        <v>1000</v>
      </c>
      <c r="H500">
        <v>0</v>
      </c>
      <c r="I500" s="59" t="s">
        <v>2</v>
      </c>
    </row>
    <row r="501" spans="1:9" x14ac:dyDescent="0.2">
      <c r="A501">
        <v>533</v>
      </c>
      <c r="B501">
        <v>1913000</v>
      </c>
      <c r="C501">
        <v>0</v>
      </c>
      <c r="D501" s="1">
        <v>2023</v>
      </c>
      <c r="E501" s="1">
        <v>2135.11</v>
      </c>
      <c r="F501">
        <v>0</v>
      </c>
      <c r="G501" s="1">
        <v>11000</v>
      </c>
      <c r="H501">
        <v>0</v>
      </c>
      <c r="I501" s="59" t="s">
        <v>2</v>
      </c>
    </row>
    <row r="502" spans="1:9" x14ac:dyDescent="0.2">
      <c r="A502">
        <v>533</v>
      </c>
      <c r="B502">
        <v>1943000</v>
      </c>
      <c r="C502">
        <v>0</v>
      </c>
      <c r="D502" s="1">
        <v>4519</v>
      </c>
      <c r="E502">
        <v>459.5</v>
      </c>
      <c r="F502">
        <v>0</v>
      </c>
      <c r="G502" s="1">
        <v>5000</v>
      </c>
      <c r="H502">
        <v>0</v>
      </c>
      <c r="I502" s="59">
        <f>SUM(D490:D502)/1000</f>
        <v>212.423</v>
      </c>
    </row>
    <row r="503" spans="1:9" x14ac:dyDescent="0.2">
      <c r="A503">
        <v>534</v>
      </c>
      <c r="B503">
        <v>1611000</v>
      </c>
      <c r="C503">
        <v>0</v>
      </c>
      <c r="D503" s="1">
        <v>227091</v>
      </c>
      <c r="E503">
        <v>575</v>
      </c>
      <c r="F503">
        <v>0</v>
      </c>
      <c r="G503" s="1">
        <v>55000</v>
      </c>
      <c r="H503">
        <v>0</v>
      </c>
      <c r="I503" s="59" t="s">
        <v>2</v>
      </c>
    </row>
    <row r="504" spans="1:9" x14ac:dyDescent="0.2">
      <c r="A504">
        <v>534</v>
      </c>
      <c r="B504">
        <v>1612000</v>
      </c>
      <c r="C504">
        <v>0</v>
      </c>
      <c r="D504" s="1">
        <v>48169.35</v>
      </c>
      <c r="E504">
        <v>0</v>
      </c>
      <c r="F504" s="1">
        <v>132338.76</v>
      </c>
      <c r="G504" s="1">
        <v>4956000</v>
      </c>
      <c r="H504" s="1">
        <v>4346489.71</v>
      </c>
      <c r="I504" s="59" t="s">
        <v>2</v>
      </c>
    </row>
    <row r="505" spans="1:9" x14ac:dyDescent="0.2">
      <c r="A505">
        <v>534</v>
      </c>
      <c r="B505">
        <v>1613000</v>
      </c>
      <c r="C505">
        <v>0</v>
      </c>
      <c r="D505" s="1">
        <v>94066.34</v>
      </c>
      <c r="E505">
        <v>0</v>
      </c>
      <c r="F505" s="1">
        <v>2224</v>
      </c>
      <c r="G505">
        <v>0</v>
      </c>
      <c r="H505" s="1">
        <v>14843</v>
      </c>
      <c r="I505" s="59" t="s">
        <v>2</v>
      </c>
    </row>
    <row r="506" spans="1:9" x14ac:dyDescent="0.2">
      <c r="A506">
        <v>534</v>
      </c>
      <c r="B506">
        <v>1617000</v>
      </c>
      <c r="C506">
        <v>0</v>
      </c>
      <c r="D506" s="1">
        <v>56539.02</v>
      </c>
      <c r="E506">
        <v>425.21</v>
      </c>
      <c r="F506">
        <v>0</v>
      </c>
      <c r="G506" s="1">
        <v>260000</v>
      </c>
      <c r="H506" s="1">
        <v>349207.47</v>
      </c>
      <c r="I506" s="59" t="s">
        <v>2</v>
      </c>
    </row>
    <row r="507" spans="1:9" x14ac:dyDescent="0.2">
      <c r="A507">
        <v>534</v>
      </c>
      <c r="B507">
        <v>1621000</v>
      </c>
      <c r="C507">
        <v>0</v>
      </c>
      <c r="D507" s="1">
        <v>47945.81</v>
      </c>
      <c r="E507" s="1">
        <v>4200</v>
      </c>
      <c r="F507">
        <v>0</v>
      </c>
      <c r="G507" s="1">
        <v>24000</v>
      </c>
      <c r="H507">
        <v>0</v>
      </c>
      <c r="I507" s="59" t="s">
        <v>2</v>
      </c>
    </row>
    <row r="508" spans="1:9" x14ac:dyDescent="0.2">
      <c r="A508">
        <v>534</v>
      </c>
      <c r="B508">
        <v>1711000</v>
      </c>
      <c r="C508">
        <v>0</v>
      </c>
      <c r="D508" s="1">
        <v>585710.12</v>
      </c>
      <c r="E508">
        <v>452.59</v>
      </c>
      <c r="F508">
        <v>0</v>
      </c>
      <c r="G508" s="1">
        <v>175000</v>
      </c>
      <c r="H508" s="1">
        <v>167330.29</v>
      </c>
      <c r="I508" s="59" t="s">
        <v>2</v>
      </c>
    </row>
    <row r="509" spans="1:9" x14ac:dyDescent="0.2">
      <c r="A509">
        <v>534</v>
      </c>
      <c r="B509">
        <v>1712200</v>
      </c>
      <c r="C509">
        <v>0</v>
      </c>
      <c r="D509" s="1">
        <v>36644.800000000003</v>
      </c>
      <c r="E509" s="1">
        <v>3309.19</v>
      </c>
      <c r="F509">
        <v>0</v>
      </c>
      <c r="G509" s="1">
        <v>35000</v>
      </c>
      <c r="H509">
        <v>0</v>
      </c>
      <c r="I509" s="59" t="s">
        <v>2</v>
      </c>
    </row>
    <row r="510" spans="1:9" x14ac:dyDescent="0.2">
      <c r="A510">
        <v>534</v>
      </c>
      <c r="B510">
        <v>1721000</v>
      </c>
      <c r="C510">
        <v>0</v>
      </c>
      <c r="D510" s="1">
        <v>159635.04999999999</v>
      </c>
      <c r="E510" s="1">
        <v>3168221.73</v>
      </c>
      <c r="F510">
        <v>0</v>
      </c>
      <c r="G510" s="1">
        <v>8551000</v>
      </c>
      <c r="H510" s="1">
        <v>2746532.48</v>
      </c>
      <c r="I510" s="59" t="s">
        <v>2</v>
      </c>
    </row>
    <row r="511" spans="1:9" x14ac:dyDescent="0.2">
      <c r="A511">
        <v>534</v>
      </c>
      <c r="B511">
        <v>1733000</v>
      </c>
      <c r="C511">
        <v>0</v>
      </c>
      <c r="D511" s="1">
        <v>24528.63</v>
      </c>
      <c r="E511">
        <v>0</v>
      </c>
      <c r="F511" s="1">
        <v>7136151.4800000004</v>
      </c>
      <c r="G511">
        <v>0</v>
      </c>
      <c r="H511" s="1">
        <v>7543196.8200000003</v>
      </c>
      <c r="I511" s="59" t="s">
        <v>2</v>
      </c>
    </row>
    <row r="512" spans="1:9" x14ac:dyDescent="0.2">
      <c r="A512">
        <v>534</v>
      </c>
      <c r="B512">
        <v>1741000</v>
      </c>
      <c r="C512">
        <v>0</v>
      </c>
      <c r="D512" s="1">
        <v>55052.29</v>
      </c>
      <c r="E512" s="1">
        <v>5402.1</v>
      </c>
      <c r="F512">
        <v>0</v>
      </c>
      <c r="G512" s="1">
        <v>60000</v>
      </c>
      <c r="H512">
        <v>0</v>
      </c>
      <c r="I512" s="59" t="s">
        <v>2</v>
      </c>
    </row>
    <row r="513" spans="1:9" x14ac:dyDescent="0.2">
      <c r="A513">
        <v>534</v>
      </c>
      <c r="B513">
        <v>1746000</v>
      </c>
      <c r="C513">
        <v>0</v>
      </c>
      <c r="D513" s="1">
        <v>158757.45000000001</v>
      </c>
      <c r="E513" s="1">
        <v>54991.1</v>
      </c>
      <c r="F513">
        <v>0</v>
      </c>
      <c r="G513" s="1">
        <v>144000</v>
      </c>
      <c r="H513">
        <v>0</v>
      </c>
      <c r="I513" s="59" t="s">
        <v>2</v>
      </c>
    </row>
    <row r="514" spans="1:9" x14ac:dyDescent="0.2">
      <c r="A514">
        <v>534</v>
      </c>
      <c r="B514">
        <v>1811000</v>
      </c>
      <c r="C514">
        <v>0</v>
      </c>
      <c r="D514" s="1">
        <v>138221.79</v>
      </c>
      <c r="E514" s="1">
        <v>9902</v>
      </c>
      <c r="F514">
        <v>0</v>
      </c>
      <c r="G514" s="1">
        <v>20000</v>
      </c>
      <c r="H514">
        <v>0</v>
      </c>
      <c r="I514" s="59" t="s">
        <v>2</v>
      </c>
    </row>
    <row r="515" spans="1:9" x14ac:dyDescent="0.2">
      <c r="A515">
        <v>534</v>
      </c>
      <c r="B515">
        <v>1817910</v>
      </c>
      <c r="C515">
        <v>0</v>
      </c>
      <c r="D515" s="1">
        <v>59495.47</v>
      </c>
      <c r="E515" s="1">
        <v>302079.46999999997</v>
      </c>
      <c r="F515">
        <v>0</v>
      </c>
      <c r="G515" s="1">
        <v>1004000</v>
      </c>
      <c r="H515" s="1">
        <v>637988.29</v>
      </c>
      <c r="I515" s="59" t="s">
        <v>2</v>
      </c>
    </row>
    <row r="516" spans="1:9" x14ac:dyDescent="0.2">
      <c r="A516">
        <v>534</v>
      </c>
      <c r="B516">
        <v>1821000</v>
      </c>
      <c r="C516">
        <v>0</v>
      </c>
      <c r="D516" s="1">
        <v>32025.8</v>
      </c>
      <c r="E516">
        <v>0</v>
      </c>
      <c r="F516" s="1">
        <v>119360.77</v>
      </c>
      <c r="G516" s="1">
        <v>1016000</v>
      </c>
      <c r="H516" s="1">
        <v>1890885.01</v>
      </c>
      <c r="I516" s="59" t="s">
        <v>2</v>
      </c>
    </row>
    <row r="517" spans="1:9" x14ac:dyDescent="0.2">
      <c r="A517">
        <v>534</v>
      </c>
      <c r="B517">
        <v>1822200</v>
      </c>
      <c r="C517">
        <v>0</v>
      </c>
      <c r="D517" s="1">
        <v>-9895.42</v>
      </c>
      <c r="E517" s="1">
        <v>31033.1</v>
      </c>
      <c r="F517">
        <v>0</v>
      </c>
      <c r="G517" s="1">
        <v>200000</v>
      </c>
      <c r="H517" s="1">
        <v>246939.9</v>
      </c>
      <c r="I517" s="59" t="s">
        <v>2</v>
      </c>
    </row>
    <row r="518" spans="1:9" x14ac:dyDescent="0.2">
      <c r="A518">
        <v>534</v>
      </c>
      <c r="B518">
        <v>1913000</v>
      </c>
      <c r="C518">
        <v>0</v>
      </c>
      <c r="D518" s="1">
        <v>49280.69</v>
      </c>
      <c r="E518">
        <v>0</v>
      </c>
      <c r="F518">
        <v>0</v>
      </c>
      <c r="G518">
        <v>0</v>
      </c>
      <c r="H518" s="1">
        <v>6734</v>
      </c>
      <c r="I518" s="59">
        <f>SUM(D503:D518)/1000</f>
        <v>1763.26819</v>
      </c>
    </row>
    <row r="519" spans="1:9" x14ac:dyDescent="0.2">
      <c r="A519">
        <v>540</v>
      </c>
      <c r="B519">
        <v>1613000</v>
      </c>
      <c r="C519">
        <v>0</v>
      </c>
      <c r="D519" s="1">
        <v>1153633.25</v>
      </c>
      <c r="E519">
        <v>481</v>
      </c>
      <c r="F519">
        <v>0</v>
      </c>
      <c r="G519" s="1">
        <v>4000</v>
      </c>
      <c r="H519">
        <v>0</v>
      </c>
      <c r="I519" s="59">
        <f>D519/1000</f>
        <v>1153.6332500000001</v>
      </c>
    </row>
    <row r="520" spans="1:9" x14ac:dyDescent="0.2">
      <c r="A520">
        <v>550</v>
      </c>
      <c r="B520">
        <v>1611000</v>
      </c>
      <c r="C520">
        <v>0</v>
      </c>
      <c r="D520" s="1">
        <v>15727</v>
      </c>
      <c r="E520" s="1">
        <v>1738</v>
      </c>
      <c r="F520">
        <v>0</v>
      </c>
      <c r="G520" s="1">
        <v>4000</v>
      </c>
      <c r="H520">
        <v>0</v>
      </c>
      <c r="I520" s="59" t="s">
        <v>2</v>
      </c>
    </row>
    <row r="521" spans="1:9" x14ac:dyDescent="0.2">
      <c r="A521">
        <v>550</v>
      </c>
      <c r="B521">
        <v>1613000</v>
      </c>
      <c r="C521">
        <v>0</v>
      </c>
      <c r="D521" s="1">
        <v>201942</v>
      </c>
      <c r="E521" s="1">
        <v>25240.47</v>
      </c>
      <c r="F521">
        <v>0</v>
      </c>
      <c r="G521" s="1">
        <v>684000</v>
      </c>
      <c r="H521" s="1">
        <v>881423.08</v>
      </c>
      <c r="I521" s="59" t="s">
        <v>2</v>
      </c>
    </row>
    <row r="522" spans="1:9" x14ac:dyDescent="0.2">
      <c r="A522">
        <v>550</v>
      </c>
      <c r="B522">
        <v>1613200</v>
      </c>
      <c r="C522">
        <v>0</v>
      </c>
      <c r="D522" s="1">
        <v>11899</v>
      </c>
      <c r="E522">
        <v>563.96</v>
      </c>
      <c r="F522">
        <v>0</v>
      </c>
      <c r="G522" s="1">
        <v>1000</v>
      </c>
      <c r="H522">
        <v>0</v>
      </c>
      <c r="I522" s="59" t="s">
        <v>2</v>
      </c>
    </row>
    <row r="523" spans="1:9" x14ac:dyDescent="0.2">
      <c r="A523">
        <v>550</v>
      </c>
      <c r="B523">
        <v>1729999</v>
      </c>
      <c r="C523">
        <v>0</v>
      </c>
      <c r="D523" s="1">
        <v>74676.98</v>
      </c>
      <c r="E523">
        <v>481</v>
      </c>
      <c r="F523">
        <v>0</v>
      </c>
      <c r="G523" s="1">
        <v>4000</v>
      </c>
      <c r="H523">
        <v>0</v>
      </c>
      <c r="I523" s="59">
        <f>SUM(D520:D523)/1000</f>
        <v>304.24498</v>
      </c>
    </row>
    <row r="524" spans="1:9" x14ac:dyDescent="0.2">
      <c r="A524">
        <v>570</v>
      </c>
      <c r="B524">
        <v>1621300</v>
      </c>
      <c r="C524">
        <v>0</v>
      </c>
      <c r="D524" s="1">
        <v>88201.52</v>
      </c>
      <c r="E524">
        <v>500</v>
      </c>
      <c r="F524">
        <v>0</v>
      </c>
      <c r="G524" s="1">
        <v>2000</v>
      </c>
      <c r="H524">
        <v>0</v>
      </c>
      <c r="I524" s="59" t="s">
        <v>2</v>
      </c>
    </row>
    <row r="525" spans="1:9" x14ac:dyDescent="0.2">
      <c r="A525">
        <v>570</v>
      </c>
      <c r="B525">
        <v>1623000</v>
      </c>
      <c r="C525">
        <v>0</v>
      </c>
      <c r="D525" s="1">
        <v>1123415.1599999999</v>
      </c>
      <c r="E525">
        <v>346.16</v>
      </c>
      <c r="F525">
        <v>0</v>
      </c>
      <c r="G525" s="1">
        <v>1000</v>
      </c>
      <c r="H525">
        <v>0</v>
      </c>
      <c r="I525" s="59">
        <f>SUM(D524:D525)/1000</f>
        <v>1211.6166799999999</v>
      </c>
    </row>
    <row r="526" spans="1:9" x14ac:dyDescent="0.2">
      <c r="A526">
        <v>581</v>
      </c>
      <c r="B526">
        <v>1617000</v>
      </c>
      <c r="C526">
        <v>0</v>
      </c>
      <c r="D526">
        <v>150</v>
      </c>
      <c r="E526">
        <v>605.6</v>
      </c>
      <c r="F526">
        <v>0</v>
      </c>
      <c r="G526" s="1">
        <v>1000</v>
      </c>
      <c r="H526">
        <v>0</v>
      </c>
      <c r="I526" s="59" t="s">
        <v>2</v>
      </c>
    </row>
    <row r="527" spans="1:9" x14ac:dyDescent="0.2">
      <c r="A527">
        <v>610</v>
      </c>
      <c r="B527">
        <v>1631000</v>
      </c>
      <c r="C527">
        <v>0</v>
      </c>
      <c r="D527" s="1">
        <v>878416.15</v>
      </c>
      <c r="E527">
        <v>566</v>
      </c>
      <c r="F527">
        <v>0</v>
      </c>
      <c r="G527" s="1">
        <v>1000</v>
      </c>
      <c r="H527">
        <v>0</v>
      </c>
      <c r="I527" s="59" t="s">
        <v>2</v>
      </c>
    </row>
    <row r="528" spans="1:9" x14ac:dyDescent="0.2">
      <c r="A528">
        <v>610</v>
      </c>
      <c r="B528">
        <v>1631200</v>
      </c>
      <c r="C528">
        <v>0</v>
      </c>
      <c r="D528" s="1">
        <v>379911.86</v>
      </c>
      <c r="E528">
        <v>0</v>
      </c>
      <c r="F528">
        <v>0</v>
      </c>
      <c r="G528">
        <v>0</v>
      </c>
      <c r="H528" s="1">
        <v>6388</v>
      </c>
      <c r="I528" s="59">
        <f>SUM(D527:D528)/1000</f>
        <v>1258.3280099999999</v>
      </c>
    </row>
    <row r="529" spans="1:9" x14ac:dyDescent="0.2">
      <c r="A529">
        <v>690</v>
      </c>
      <c r="B529">
        <v>1933000</v>
      </c>
      <c r="C529">
        <v>0</v>
      </c>
      <c r="D529">
        <v>296</v>
      </c>
      <c r="E529" s="1">
        <v>442511.83</v>
      </c>
      <c r="F529">
        <v>0</v>
      </c>
      <c r="G529" s="1">
        <v>1427000</v>
      </c>
      <c r="H529" s="1">
        <v>2126143.06</v>
      </c>
      <c r="I529" s="59" t="s">
        <v>2</v>
      </c>
    </row>
    <row r="530" spans="1:9" x14ac:dyDescent="0.2">
      <c r="A530">
        <v>691</v>
      </c>
      <c r="B530">
        <v>1648000</v>
      </c>
      <c r="C530">
        <v>0</v>
      </c>
      <c r="D530" s="1">
        <v>4394369.8499999996</v>
      </c>
      <c r="E530">
        <v>0</v>
      </c>
      <c r="F530" s="1">
        <v>4851.8900000000003</v>
      </c>
      <c r="G530">
        <v>0</v>
      </c>
      <c r="H530" s="1">
        <v>9000.75</v>
      </c>
      <c r="I530" s="59" t="s">
        <v>2</v>
      </c>
    </row>
    <row r="531" spans="1:9" x14ac:dyDescent="0.2">
      <c r="A531">
        <v>691</v>
      </c>
      <c r="B531">
        <v>1649100</v>
      </c>
      <c r="C531">
        <v>0</v>
      </c>
      <c r="D531" s="1">
        <v>2754795.17</v>
      </c>
      <c r="E531">
        <v>0</v>
      </c>
      <c r="F531" s="1">
        <v>68248.14</v>
      </c>
      <c r="G531">
        <v>0</v>
      </c>
      <c r="H531">
        <v>0</v>
      </c>
      <c r="I531" s="59" t="s">
        <v>2</v>
      </c>
    </row>
    <row r="532" spans="1:9" x14ac:dyDescent="0.2">
      <c r="A532">
        <v>692</v>
      </c>
      <c r="B532">
        <v>1648000</v>
      </c>
      <c r="C532">
        <v>0</v>
      </c>
      <c r="D532" s="1">
        <v>757409.65</v>
      </c>
      <c r="E532">
        <v>0</v>
      </c>
      <c r="F532" s="1">
        <v>69508.7</v>
      </c>
      <c r="G532">
        <v>0</v>
      </c>
      <c r="H532" s="1">
        <v>8014.83</v>
      </c>
      <c r="I532" s="59" t="s">
        <v>2</v>
      </c>
    </row>
    <row r="533" spans="1:9" x14ac:dyDescent="0.2">
      <c r="A533">
        <v>692</v>
      </c>
      <c r="B533">
        <v>1649100</v>
      </c>
      <c r="C533">
        <v>0</v>
      </c>
      <c r="D533" s="1">
        <v>503274.53</v>
      </c>
      <c r="E533" s="1">
        <v>26798.47</v>
      </c>
      <c r="F533">
        <v>0</v>
      </c>
      <c r="G533" s="1">
        <v>748000</v>
      </c>
      <c r="H533" s="1">
        <v>749038.48</v>
      </c>
      <c r="I533" s="59" t="s">
        <v>2</v>
      </c>
    </row>
    <row r="534" spans="1:9" x14ac:dyDescent="0.2">
      <c r="A534">
        <v>693</v>
      </c>
      <c r="B534">
        <v>1648000</v>
      </c>
      <c r="C534">
        <v>0</v>
      </c>
      <c r="D534" s="1">
        <v>202814.24</v>
      </c>
      <c r="E534" s="1">
        <v>77160.710000000006</v>
      </c>
      <c r="F534">
        <v>0</v>
      </c>
      <c r="G534" s="1">
        <v>2167000</v>
      </c>
      <c r="H534" s="1">
        <v>1940727.76</v>
      </c>
      <c r="I534" s="59" t="s">
        <v>2</v>
      </c>
    </row>
    <row r="535" spans="1:9" x14ac:dyDescent="0.2">
      <c r="A535">
        <v>693</v>
      </c>
      <c r="B535">
        <v>1649100</v>
      </c>
      <c r="C535">
        <v>0</v>
      </c>
      <c r="D535" s="1">
        <v>11348.58</v>
      </c>
      <c r="E535">
        <v>0</v>
      </c>
      <c r="F535" s="1">
        <v>8186.17</v>
      </c>
      <c r="G535">
        <v>0</v>
      </c>
      <c r="H535">
        <v>0</v>
      </c>
      <c r="I535" s="59">
        <f>SUM(D529:D535)/1000</f>
        <v>8624.3080200000004</v>
      </c>
    </row>
    <row r="536" spans="1:9" x14ac:dyDescent="0.2">
      <c r="A536">
        <v>710</v>
      </c>
      <c r="B536">
        <v>1817800</v>
      </c>
      <c r="C536">
        <v>0</v>
      </c>
      <c r="D536" s="1">
        <v>5835806.1399999997</v>
      </c>
      <c r="E536" s="1">
        <v>177512.53</v>
      </c>
      <c r="F536">
        <v>0</v>
      </c>
      <c r="G536" s="1">
        <v>1801000</v>
      </c>
      <c r="H536" s="1">
        <v>1719104.58</v>
      </c>
      <c r="I536" s="59">
        <f>D536/1000</f>
        <v>5835.8061399999997</v>
      </c>
    </row>
    <row r="537" spans="1:9" x14ac:dyDescent="0.2">
      <c r="A537">
        <v>720</v>
      </c>
      <c r="B537">
        <v>1746000</v>
      </c>
      <c r="C537">
        <v>0</v>
      </c>
      <c r="D537" s="1">
        <v>3326515.69</v>
      </c>
      <c r="E537">
        <v>0</v>
      </c>
      <c r="F537" s="1">
        <v>35114.93</v>
      </c>
      <c r="G537">
        <v>0</v>
      </c>
      <c r="H537" s="1">
        <v>54341</v>
      </c>
      <c r="I537" s="59">
        <f>D537/1000</f>
        <v>3326.5156899999997</v>
      </c>
    </row>
    <row r="538" spans="1:9" x14ac:dyDescent="0.2">
      <c r="A538">
        <v>732</v>
      </c>
      <c r="B538">
        <v>1712300</v>
      </c>
      <c r="C538">
        <v>0</v>
      </c>
      <c r="D538">
        <v>40.950000000000003</v>
      </c>
      <c r="E538" s="1">
        <v>1256337.6000000001</v>
      </c>
      <c r="F538">
        <v>0</v>
      </c>
      <c r="G538" s="1">
        <v>3551000</v>
      </c>
      <c r="H538" s="1">
        <v>2271931.4</v>
      </c>
      <c r="I538" s="59" t="s">
        <v>2</v>
      </c>
    </row>
    <row r="539" spans="1:9" x14ac:dyDescent="0.2">
      <c r="A539">
        <v>750</v>
      </c>
      <c r="B539">
        <v>1613000</v>
      </c>
      <c r="C539">
        <v>0</v>
      </c>
      <c r="D539" s="1">
        <v>86076.5</v>
      </c>
      <c r="E539">
        <v>0</v>
      </c>
      <c r="F539">
        <v>0</v>
      </c>
      <c r="G539">
        <v>0</v>
      </c>
      <c r="H539" s="1">
        <v>7035</v>
      </c>
      <c r="I539" s="59" t="s">
        <v>2</v>
      </c>
    </row>
    <row r="540" spans="1:9" x14ac:dyDescent="0.2">
      <c r="A540">
        <v>750</v>
      </c>
      <c r="B540">
        <v>1621000</v>
      </c>
      <c r="C540">
        <v>0</v>
      </c>
      <c r="D540" s="1">
        <v>152986</v>
      </c>
      <c r="E540" s="1">
        <v>358132.79</v>
      </c>
      <c r="F540">
        <v>0</v>
      </c>
      <c r="G540" s="1">
        <v>931000</v>
      </c>
      <c r="H540" s="1">
        <v>1083642.75</v>
      </c>
      <c r="I540" s="59" t="s">
        <v>2</v>
      </c>
    </row>
    <row r="541" spans="1:9" x14ac:dyDescent="0.2">
      <c r="A541">
        <v>750</v>
      </c>
      <c r="B541">
        <v>1623000</v>
      </c>
      <c r="C541">
        <v>0</v>
      </c>
      <c r="D541" s="1">
        <v>863609.7</v>
      </c>
      <c r="E541">
        <v>0</v>
      </c>
      <c r="F541">
        <v>0</v>
      </c>
      <c r="G541">
        <v>0</v>
      </c>
      <c r="H541" s="1">
        <v>7034.38</v>
      </c>
      <c r="I541" s="59" t="s">
        <v>2</v>
      </c>
    </row>
    <row r="542" spans="1:9" x14ac:dyDescent="0.2">
      <c r="A542">
        <v>750</v>
      </c>
      <c r="B542">
        <v>1623100</v>
      </c>
      <c r="C542">
        <v>0</v>
      </c>
      <c r="D542" s="1">
        <v>16763.88</v>
      </c>
      <c r="E542" s="1">
        <v>24468.080000000002</v>
      </c>
      <c r="F542">
        <v>0</v>
      </c>
      <c r="G542">
        <v>0</v>
      </c>
      <c r="H542" s="1">
        <v>414467.57</v>
      </c>
      <c r="I542" s="59" t="s">
        <v>2</v>
      </c>
    </row>
    <row r="543" spans="1:9" x14ac:dyDescent="0.2">
      <c r="A543">
        <v>750</v>
      </c>
      <c r="B543">
        <v>1623200</v>
      </c>
      <c r="C543">
        <v>0</v>
      </c>
      <c r="D543" s="1">
        <v>10267.32</v>
      </c>
      <c r="E543">
        <v>0</v>
      </c>
      <c r="F543" s="1">
        <v>58022.17</v>
      </c>
      <c r="G543">
        <v>0</v>
      </c>
      <c r="H543">
        <v>524</v>
      </c>
      <c r="I543" s="59" t="s">
        <v>2</v>
      </c>
    </row>
    <row r="544" spans="1:9" x14ac:dyDescent="0.2">
      <c r="A544">
        <v>750</v>
      </c>
      <c r="B544">
        <v>1623300</v>
      </c>
      <c r="C544">
        <v>0</v>
      </c>
      <c r="D544" s="1">
        <v>6161.46</v>
      </c>
      <c r="E544">
        <v>0</v>
      </c>
      <c r="F544" s="1">
        <v>10859.16</v>
      </c>
      <c r="G544" s="1">
        <v>960000</v>
      </c>
      <c r="H544">
        <v>0</v>
      </c>
      <c r="I544" s="59" t="s">
        <v>2</v>
      </c>
    </row>
    <row r="545" spans="1:9" x14ac:dyDescent="0.2">
      <c r="A545">
        <v>750</v>
      </c>
      <c r="B545">
        <v>1623500</v>
      </c>
      <c r="C545">
        <v>0</v>
      </c>
      <c r="D545">
        <v>647</v>
      </c>
      <c r="E545">
        <v>700</v>
      </c>
      <c r="F545">
        <v>0</v>
      </c>
      <c r="G545" s="1">
        <v>5000</v>
      </c>
      <c r="H545">
        <v>0</v>
      </c>
      <c r="I545" s="59" t="s">
        <v>2</v>
      </c>
    </row>
    <row r="546" spans="1:9" x14ac:dyDescent="0.2">
      <c r="A546">
        <v>750</v>
      </c>
      <c r="B546">
        <v>1712200</v>
      </c>
      <c r="C546">
        <v>0</v>
      </c>
      <c r="D546" s="1">
        <v>9894361.1300000008</v>
      </c>
      <c r="E546" s="1">
        <v>5596.48</v>
      </c>
      <c r="F546">
        <v>0</v>
      </c>
      <c r="G546" s="1">
        <v>871000</v>
      </c>
      <c r="H546" s="1">
        <v>874851.71</v>
      </c>
      <c r="I546" s="59" t="s">
        <v>2</v>
      </c>
    </row>
    <row r="547" spans="1:9" x14ac:dyDescent="0.2">
      <c r="A547">
        <v>750</v>
      </c>
      <c r="B547">
        <v>1712300</v>
      </c>
      <c r="C547">
        <v>0</v>
      </c>
      <c r="D547" s="1">
        <v>54603.96</v>
      </c>
      <c r="E547">
        <v>0</v>
      </c>
      <c r="F547" s="1">
        <v>1989.96</v>
      </c>
      <c r="G547" s="1">
        <v>15000</v>
      </c>
      <c r="H547" s="1">
        <v>7163</v>
      </c>
      <c r="I547" s="59" t="s">
        <v>2</v>
      </c>
    </row>
    <row r="548" spans="1:9" x14ac:dyDescent="0.2">
      <c r="A548">
        <v>750</v>
      </c>
      <c r="B548">
        <v>1712310</v>
      </c>
      <c r="C548">
        <v>0</v>
      </c>
      <c r="D548" s="1">
        <v>67653.5</v>
      </c>
      <c r="E548">
        <v>711.66</v>
      </c>
      <c r="F548">
        <v>0</v>
      </c>
      <c r="G548" s="1">
        <v>5000</v>
      </c>
      <c r="H548">
        <v>0</v>
      </c>
      <c r="I548" s="59" t="s">
        <v>2</v>
      </c>
    </row>
    <row r="549" spans="1:9" x14ac:dyDescent="0.2">
      <c r="A549">
        <v>750</v>
      </c>
      <c r="B549">
        <v>1726200</v>
      </c>
      <c r="C549">
        <v>0</v>
      </c>
      <c r="D549" s="1">
        <v>25307.96</v>
      </c>
      <c r="E549" s="1">
        <v>2000</v>
      </c>
      <c r="F549">
        <v>0</v>
      </c>
      <c r="G549" s="1">
        <v>2000</v>
      </c>
      <c r="H549">
        <v>0</v>
      </c>
      <c r="I549" s="59" t="s">
        <v>2</v>
      </c>
    </row>
    <row r="550" spans="1:9" x14ac:dyDescent="0.2">
      <c r="A550">
        <v>750</v>
      </c>
      <c r="B550">
        <v>1746000</v>
      </c>
      <c r="C550">
        <v>0</v>
      </c>
      <c r="D550" s="1">
        <v>3498088.66</v>
      </c>
      <c r="E550" s="1">
        <v>20000</v>
      </c>
      <c r="F550">
        <v>0</v>
      </c>
      <c r="G550" s="1">
        <v>20000</v>
      </c>
      <c r="H550">
        <v>0</v>
      </c>
      <c r="I550" s="59" t="s">
        <v>2</v>
      </c>
    </row>
    <row r="551" spans="1:9" x14ac:dyDescent="0.2">
      <c r="A551">
        <v>750</v>
      </c>
      <c r="B551">
        <v>1811000</v>
      </c>
      <c r="C551">
        <v>0</v>
      </c>
      <c r="D551" s="1">
        <v>1411009.32</v>
      </c>
      <c r="E551">
        <v>0</v>
      </c>
      <c r="F551" s="1">
        <v>11033.09</v>
      </c>
      <c r="G551" s="1">
        <v>835000</v>
      </c>
      <c r="H551" s="1">
        <v>776445.74</v>
      </c>
      <c r="I551" s="59" t="s">
        <v>2</v>
      </c>
    </row>
    <row r="552" spans="1:9" x14ac:dyDescent="0.2">
      <c r="A552">
        <v>750</v>
      </c>
      <c r="B552">
        <v>1812400</v>
      </c>
      <c r="C552">
        <v>0</v>
      </c>
      <c r="D552" s="1">
        <v>1135360.77</v>
      </c>
      <c r="E552">
        <v>0</v>
      </c>
      <c r="F552">
        <v>0</v>
      </c>
      <c r="G552">
        <v>0</v>
      </c>
      <c r="H552" s="1">
        <v>1138</v>
      </c>
      <c r="I552" s="59" t="s">
        <v>2</v>
      </c>
    </row>
    <row r="553" spans="1:9" x14ac:dyDescent="0.2">
      <c r="A553">
        <v>750</v>
      </c>
      <c r="B553">
        <v>1812440</v>
      </c>
      <c r="C553">
        <v>0</v>
      </c>
      <c r="D553" s="1">
        <v>658759.53</v>
      </c>
      <c r="E553">
        <v>0</v>
      </c>
      <c r="F553">
        <v>200</v>
      </c>
      <c r="G553" s="1">
        <v>100000</v>
      </c>
      <c r="H553">
        <v>0</v>
      </c>
      <c r="I553" s="59" t="s">
        <v>2</v>
      </c>
    </row>
    <row r="554" spans="1:9" x14ac:dyDescent="0.2">
      <c r="A554">
        <v>750</v>
      </c>
      <c r="B554">
        <v>1813200</v>
      </c>
      <c r="C554">
        <v>0</v>
      </c>
      <c r="D554" s="1">
        <v>970859.16</v>
      </c>
      <c r="E554">
        <v>0</v>
      </c>
      <c r="F554" s="1">
        <v>49649.36</v>
      </c>
      <c r="G554" s="1">
        <v>724000</v>
      </c>
      <c r="H554" s="1">
        <v>742547.48</v>
      </c>
      <c r="I554" s="59" t="s">
        <v>2</v>
      </c>
    </row>
    <row r="555" spans="1:9" x14ac:dyDescent="0.2">
      <c r="A555">
        <v>750</v>
      </c>
      <c r="B555">
        <v>1817900</v>
      </c>
      <c r="C555">
        <v>0</v>
      </c>
      <c r="D555" s="1">
        <v>2779201.31</v>
      </c>
      <c r="E555" s="1">
        <v>3110.99</v>
      </c>
      <c r="F555">
        <v>0</v>
      </c>
      <c r="G555" s="1">
        <v>14000</v>
      </c>
      <c r="H555" s="1">
        <v>13868.83</v>
      </c>
      <c r="I555" s="59" t="s">
        <v>2</v>
      </c>
    </row>
    <row r="556" spans="1:9" x14ac:dyDescent="0.2">
      <c r="A556">
        <v>750</v>
      </c>
      <c r="B556">
        <v>1826400</v>
      </c>
      <c r="C556">
        <v>0</v>
      </c>
      <c r="D556" s="1">
        <v>321669.83</v>
      </c>
      <c r="E556">
        <v>0</v>
      </c>
      <c r="F556" s="1">
        <v>18874.2</v>
      </c>
      <c r="G556" s="1">
        <v>37000</v>
      </c>
      <c r="H556" s="1">
        <v>4903</v>
      </c>
      <c r="I556" s="59" t="s">
        <v>2</v>
      </c>
    </row>
    <row r="557" spans="1:9" x14ac:dyDescent="0.2">
      <c r="A557">
        <v>750</v>
      </c>
      <c r="B557">
        <v>1829200</v>
      </c>
      <c r="C557">
        <v>0</v>
      </c>
      <c r="D557" s="1">
        <v>180178</v>
      </c>
      <c r="E557">
        <v>0</v>
      </c>
      <c r="F557" s="1">
        <v>4890.87</v>
      </c>
      <c r="G557" s="1">
        <v>585000</v>
      </c>
      <c r="H557" s="1">
        <v>620364.09</v>
      </c>
      <c r="I557" s="59">
        <f>SUM(D539:D557)/1000</f>
        <v>22133.564990000003</v>
      </c>
    </row>
    <row r="558" spans="1:9" x14ac:dyDescent="0.2">
      <c r="A558">
        <v>780</v>
      </c>
      <c r="B558">
        <v>1613000</v>
      </c>
      <c r="C558">
        <v>0</v>
      </c>
      <c r="D558" s="1">
        <v>2139.8000000000002</v>
      </c>
      <c r="E558">
        <v>0</v>
      </c>
      <c r="F558" s="1">
        <v>26764.19</v>
      </c>
      <c r="G558" s="1">
        <v>174000</v>
      </c>
      <c r="H558" s="1">
        <v>160266.42000000001</v>
      </c>
      <c r="I558" s="59" t="s">
        <v>2</v>
      </c>
    </row>
    <row r="559" spans="1:9" x14ac:dyDescent="0.2">
      <c r="A559">
        <v>780</v>
      </c>
      <c r="B559">
        <v>1616000</v>
      </c>
      <c r="C559">
        <v>0</v>
      </c>
      <c r="D559" s="1">
        <v>76768.52</v>
      </c>
      <c r="E559">
        <v>0</v>
      </c>
      <c r="F559">
        <v>221.4</v>
      </c>
      <c r="G559" s="1">
        <v>598000</v>
      </c>
      <c r="H559" s="1">
        <v>792439.59</v>
      </c>
      <c r="I559" s="59" t="s">
        <v>2</v>
      </c>
    </row>
    <row r="560" spans="1:9" x14ac:dyDescent="0.2">
      <c r="A560">
        <v>780</v>
      </c>
      <c r="B560">
        <v>1711000</v>
      </c>
      <c r="C560">
        <v>0</v>
      </c>
      <c r="D560" s="1">
        <v>1943.72</v>
      </c>
      <c r="E560" s="1">
        <v>1000</v>
      </c>
      <c r="F560">
        <v>0</v>
      </c>
      <c r="G560" s="1">
        <v>1000</v>
      </c>
      <c r="H560">
        <v>0</v>
      </c>
      <c r="I560" s="59" t="s">
        <v>2</v>
      </c>
    </row>
    <row r="561" spans="1:9" x14ac:dyDescent="0.2">
      <c r="A561">
        <v>780</v>
      </c>
      <c r="B561">
        <v>1711300</v>
      </c>
      <c r="C561">
        <v>0</v>
      </c>
      <c r="D561" s="1">
        <v>53032.72</v>
      </c>
      <c r="E561">
        <v>0</v>
      </c>
      <c r="F561" s="1">
        <v>70298.25</v>
      </c>
      <c r="G561" s="1">
        <v>324000</v>
      </c>
      <c r="H561" s="1">
        <v>353647.47</v>
      </c>
      <c r="I561" s="59" t="s">
        <v>2</v>
      </c>
    </row>
    <row r="562" spans="1:9" x14ac:dyDescent="0.2">
      <c r="A562">
        <v>780</v>
      </c>
      <c r="B562">
        <v>1714200</v>
      </c>
      <c r="C562">
        <v>0</v>
      </c>
      <c r="D562" s="1">
        <v>37261.5</v>
      </c>
      <c r="E562">
        <v>0</v>
      </c>
      <c r="F562" s="1">
        <v>24616</v>
      </c>
      <c r="G562">
        <v>0</v>
      </c>
      <c r="H562" s="1">
        <v>1737.37</v>
      </c>
      <c r="I562" s="59" t="s">
        <v>2</v>
      </c>
    </row>
    <row r="563" spans="1:9" x14ac:dyDescent="0.2">
      <c r="A563">
        <v>780</v>
      </c>
      <c r="B563">
        <v>1714210</v>
      </c>
      <c r="C563">
        <v>0</v>
      </c>
      <c r="D563" s="1">
        <v>60361</v>
      </c>
      <c r="E563" s="1">
        <v>5419.04</v>
      </c>
      <c r="F563">
        <v>0</v>
      </c>
      <c r="G563" s="1">
        <v>11000</v>
      </c>
      <c r="H563">
        <v>0</v>
      </c>
      <c r="I563" s="59" t="s">
        <v>2</v>
      </c>
    </row>
    <row r="564" spans="1:9" x14ac:dyDescent="0.2">
      <c r="A564">
        <v>780</v>
      </c>
      <c r="B564">
        <v>1715300</v>
      </c>
      <c r="C564">
        <v>0</v>
      </c>
      <c r="D564" s="1">
        <v>262200</v>
      </c>
      <c r="E564" s="1">
        <v>515000</v>
      </c>
      <c r="F564">
        <v>0</v>
      </c>
      <c r="G564" s="1">
        <v>515000</v>
      </c>
      <c r="H564">
        <v>0</v>
      </c>
      <c r="I564" s="59" t="s">
        <v>2</v>
      </c>
    </row>
    <row r="565" spans="1:9" x14ac:dyDescent="0.2">
      <c r="A565">
        <v>780</v>
      </c>
      <c r="B565">
        <v>1722000</v>
      </c>
      <c r="C565">
        <v>0</v>
      </c>
      <c r="D565" s="1">
        <v>2394.1999999999998</v>
      </c>
      <c r="E565">
        <v>0</v>
      </c>
      <c r="F565" s="1">
        <v>19057</v>
      </c>
      <c r="G565" s="1">
        <v>918000</v>
      </c>
      <c r="H565" s="1">
        <v>906839.11</v>
      </c>
      <c r="I565" s="59" t="s">
        <v>2</v>
      </c>
    </row>
    <row r="566" spans="1:9" x14ac:dyDescent="0.2">
      <c r="A566">
        <v>780</v>
      </c>
      <c r="B566">
        <v>1731000</v>
      </c>
      <c r="C566">
        <v>0</v>
      </c>
      <c r="D566" s="1">
        <v>8227.09</v>
      </c>
      <c r="E566" s="1">
        <v>3191.04</v>
      </c>
      <c r="F566">
        <v>0</v>
      </c>
      <c r="G566" s="1">
        <v>6000</v>
      </c>
      <c r="H566">
        <v>0</v>
      </c>
      <c r="I566" s="59" t="s">
        <v>2</v>
      </c>
    </row>
    <row r="567" spans="1:9" x14ac:dyDescent="0.2">
      <c r="A567">
        <v>780</v>
      </c>
      <c r="B567">
        <v>1746000</v>
      </c>
      <c r="C567">
        <v>0</v>
      </c>
      <c r="D567" s="1">
        <v>1830.2</v>
      </c>
      <c r="E567">
        <v>0</v>
      </c>
      <c r="F567" s="1">
        <v>4916.3100000000004</v>
      </c>
      <c r="G567" s="1">
        <v>780000</v>
      </c>
      <c r="H567" s="1">
        <v>721857.73</v>
      </c>
      <c r="I567" s="59" t="s">
        <v>2</v>
      </c>
    </row>
    <row r="568" spans="1:9" x14ac:dyDescent="0.2">
      <c r="A568">
        <v>780</v>
      </c>
      <c r="B568">
        <v>1746100</v>
      </c>
      <c r="C568">
        <v>0</v>
      </c>
      <c r="D568">
        <v>323</v>
      </c>
      <c r="E568">
        <v>0</v>
      </c>
      <c r="F568">
        <v>0</v>
      </c>
      <c r="G568">
        <v>0</v>
      </c>
      <c r="H568" s="1">
        <v>25009</v>
      </c>
      <c r="I568" s="59" t="s">
        <v>2</v>
      </c>
    </row>
    <row r="569" spans="1:9" x14ac:dyDescent="0.2">
      <c r="A569">
        <v>780</v>
      </c>
      <c r="B569">
        <v>1746200</v>
      </c>
      <c r="C569">
        <v>0</v>
      </c>
      <c r="D569" s="1">
        <v>2452.3000000000002</v>
      </c>
      <c r="E569" s="1">
        <v>10989.38</v>
      </c>
      <c r="F569">
        <v>0</v>
      </c>
      <c r="G569" s="1">
        <v>17000</v>
      </c>
      <c r="H569" s="1">
        <v>16878.830000000002</v>
      </c>
      <c r="I569" s="59" t="s">
        <v>2</v>
      </c>
    </row>
    <row r="570" spans="1:9" x14ac:dyDescent="0.2">
      <c r="A570">
        <v>780</v>
      </c>
      <c r="B570">
        <v>1751000</v>
      </c>
      <c r="C570">
        <v>0</v>
      </c>
      <c r="D570" s="1">
        <v>100793.4</v>
      </c>
      <c r="E570">
        <v>0</v>
      </c>
      <c r="F570" s="1">
        <v>77086.17</v>
      </c>
      <c r="G570" s="1">
        <v>262000</v>
      </c>
      <c r="H570" s="1">
        <v>319621.27</v>
      </c>
      <c r="I570" s="59" t="s">
        <v>2</v>
      </c>
    </row>
    <row r="571" spans="1:9" x14ac:dyDescent="0.2">
      <c r="A571">
        <v>780</v>
      </c>
      <c r="B571">
        <v>1752000</v>
      </c>
      <c r="C571">
        <v>0</v>
      </c>
      <c r="D571" s="1">
        <v>722884.98</v>
      </c>
      <c r="E571" s="1">
        <v>16795.62</v>
      </c>
      <c r="F571">
        <v>0</v>
      </c>
      <c r="G571" s="1">
        <v>119000</v>
      </c>
      <c r="H571" s="1">
        <v>89125.77</v>
      </c>
      <c r="I571" s="59" t="s">
        <v>2</v>
      </c>
    </row>
    <row r="572" spans="1:9" x14ac:dyDescent="0.2">
      <c r="A572">
        <v>780</v>
      </c>
      <c r="B572">
        <v>1761000</v>
      </c>
      <c r="C572">
        <v>0</v>
      </c>
      <c r="D572">
        <v>581</v>
      </c>
      <c r="E572">
        <v>0</v>
      </c>
      <c r="F572">
        <v>0</v>
      </c>
      <c r="G572">
        <v>0</v>
      </c>
      <c r="H572" s="1">
        <v>48632</v>
      </c>
      <c r="I572" s="59" t="s">
        <v>2</v>
      </c>
    </row>
    <row r="573" spans="1:9" x14ac:dyDescent="0.2">
      <c r="A573">
        <v>780</v>
      </c>
      <c r="B573">
        <v>1766000</v>
      </c>
      <c r="C573">
        <v>0</v>
      </c>
      <c r="D573" s="1">
        <v>1000</v>
      </c>
      <c r="E573" s="1">
        <v>2475.91</v>
      </c>
      <c r="F573">
        <v>0</v>
      </c>
      <c r="G573" s="1">
        <v>191000</v>
      </c>
      <c r="H573" s="1">
        <v>133877.63</v>
      </c>
      <c r="I573" s="59" t="s">
        <v>2</v>
      </c>
    </row>
    <row r="574" spans="1:9" x14ac:dyDescent="0.2">
      <c r="A574">
        <v>780</v>
      </c>
      <c r="B574">
        <v>1770000</v>
      </c>
      <c r="C574">
        <v>0</v>
      </c>
      <c r="D574" s="1">
        <v>1521.7</v>
      </c>
      <c r="E574" s="1">
        <v>1930.24</v>
      </c>
      <c r="F574">
        <v>0</v>
      </c>
      <c r="G574" s="1">
        <v>4000</v>
      </c>
      <c r="H574">
        <v>0</v>
      </c>
      <c r="I574" s="59" t="s">
        <v>2</v>
      </c>
    </row>
    <row r="575" spans="1:9" x14ac:dyDescent="0.2">
      <c r="A575">
        <v>780</v>
      </c>
      <c r="B575">
        <v>1811000</v>
      </c>
      <c r="C575">
        <v>0</v>
      </c>
      <c r="D575" s="1">
        <v>71028.95</v>
      </c>
      <c r="E575" s="1">
        <v>7429.18</v>
      </c>
      <c r="F575">
        <v>0</v>
      </c>
      <c r="G575" s="1">
        <v>279000</v>
      </c>
      <c r="H575" s="1">
        <v>207760.46</v>
      </c>
      <c r="I575" s="59" t="s">
        <v>2</v>
      </c>
    </row>
    <row r="576" spans="1:9" x14ac:dyDescent="0.2">
      <c r="A576">
        <v>780</v>
      </c>
      <c r="B576">
        <v>1811200</v>
      </c>
      <c r="C576">
        <v>0</v>
      </c>
      <c r="D576" s="1">
        <v>12701.8</v>
      </c>
      <c r="E576" s="1">
        <v>7644.96</v>
      </c>
      <c r="F576">
        <v>0</v>
      </c>
      <c r="G576" s="1">
        <v>15000</v>
      </c>
      <c r="H576">
        <v>0</v>
      </c>
      <c r="I576" s="59" t="s">
        <v>2</v>
      </c>
    </row>
    <row r="577" spans="1:9" x14ac:dyDescent="0.2">
      <c r="A577">
        <v>780</v>
      </c>
      <c r="B577">
        <v>1811400</v>
      </c>
      <c r="C577">
        <v>0</v>
      </c>
      <c r="D577">
        <v>579.5</v>
      </c>
      <c r="E577">
        <v>0</v>
      </c>
      <c r="F577" s="1">
        <v>14272.54</v>
      </c>
      <c r="G577" s="1">
        <v>389000</v>
      </c>
      <c r="H577" s="1">
        <v>153180.71</v>
      </c>
      <c r="I577" s="59" t="s">
        <v>2</v>
      </c>
    </row>
    <row r="578" spans="1:9" x14ac:dyDescent="0.2">
      <c r="A578">
        <v>780</v>
      </c>
      <c r="B578">
        <v>1813210</v>
      </c>
      <c r="C578">
        <v>0</v>
      </c>
      <c r="D578" s="1">
        <v>16989.96</v>
      </c>
      <c r="E578" s="1">
        <v>6556.64</v>
      </c>
      <c r="F578">
        <v>0</v>
      </c>
      <c r="G578" s="1">
        <v>13000</v>
      </c>
      <c r="H578">
        <v>0</v>
      </c>
      <c r="I578" s="59" t="s">
        <v>2</v>
      </c>
    </row>
    <row r="579" spans="1:9" x14ac:dyDescent="0.2">
      <c r="A579">
        <v>780</v>
      </c>
      <c r="B579">
        <v>1813211</v>
      </c>
      <c r="C579">
        <v>0</v>
      </c>
      <c r="D579" s="1">
        <v>361239.11</v>
      </c>
      <c r="E579" s="1">
        <v>17997.330000000002</v>
      </c>
      <c r="F579">
        <v>0</v>
      </c>
      <c r="G579" s="1">
        <v>480000</v>
      </c>
      <c r="H579" s="1">
        <v>178230.36</v>
      </c>
      <c r="I579" s="59" t="s">
        <v>2</v>
      </c>
    </row>
    <row r="580" spans="1:9" x14ac:dyDescent="0.2">
      <c r="A580">
        <v>780</v>
      </c>
      <c r="B580">
        <v>1813212</v>
      </c>
      <c r="C580">
        <v>0</v>
      </c>
      <c r="D580" s="1">
        <v>100200</v>
      </c>
      <c r="E580">
        <v>0</v>
      </c>
      <c r="F580">
        <v>0</v>
      </c>
      <c r="G580">
        <v>0</v>
      </c>
      <c r="H580">
        <v>20.51</v>
      </c>
      <c r="I580" s="59" t="s">
        <v>2</v>
      </c>
    </row>
    <row r="581" spans="1:9" x14ac:dyDescent="0.2">
      <c r="A581">
        <v>780</v>
      </c>
      <c r="B581">
        <v>1813213</v>
      </c>
      <c r="C581">
        <v>0</v>
      </c>
      <c r="D581" s="1">
        <v>55874.2</v>
      </c>
      <c r="E581">
        <v>0</v>
      </c>
      <c r="F581" s="1">
        <v>28120.73</v>
      </c>
      <c r="G581" s="1">
        <v>201000</v>
      </c>
      <c r="H581" s="1">
        <v>206352</v>
      </c>
      <c r="I581" s="59" t="s">
        <v>2</v>
      </c>
    </row>
    <row r="582" spans="1:9" x14ac:dyDescent="0.2">
      <c r="A582">
        <v>780</v>
      </c>
      <c r="B582">
        <v>1813214</v>
      </c>
      <c r="C582">
        <v>0</v>
      </c>
      <c r="D582" s="1">
        <v>200764.19</v>
      </c>
      <c r="E582" s="1">
        <v>51188.05</v>
      </c>
      <c r="F582">
        <v>0</v>
      </c>
      <c r="G582" s="1">
        <v>90000</v>
      </c>
      <c r="H582" s="1">
        <v>92277.38</v>
      </c>
      <c r="I582" s="59" t="s">
        <v>2</v>
      </c>
    </row>
    <row r="583" spans="1:9" x14ac:dyDescent="0.2">
      <c r="A583">
        <v>780</v>
      </c>
      <c r="B583">
        <v>1813215</v>
      </c>
      <c r="C583">
        <v>0</v>
      </c>
      <c r="D583" s="1">
        <v>394298.25</v>
      </c>
      <c r="E583">
        <v>0</v>
      </c>
      <c r="F583" s="1">
        <v>41767.440000000002</v>
      </c>
      <c r="G583" s="1">
        <v>86000</v>
      </c>
      <c r="H583" s="1">
        <v>85391.49</v>
      </c>
      <c r="I583" s="59" t="s">
        <v>2</v>
      </c>
    </row>
    <row r="584" spans="1:9" x14ac:dyDescent="0.2">
      <c r="A584">
        <v>780</v>
      </c>
      <c r="B584">
        <v>1813216</v>
      </c>
      <c r="C584">
        <v>0</v>
      </c>
      <c r="D584" s="1">
        <v>5580.96</v>
      </c>
      <c r="E584">
        <v>0</v>
      </c>
      <c r="F584" s="1">
        <v>77866.320000000007</v>
      </c>
      <c r="G584" s="1">
        <v>373000</v>
      </c>
      <c r="H584" s="1">
        <v>451091.93</v>
      </c>
      <c r="I584" s="59" t="s">
        <v>2</v>
      </c>
    </row>
    <row r="585" spans="1:9" x14ac:dyDescent="0.2">
      <c r="A585">
        <v>780</v>
      </c>
      <c r="B585">
        <v>1813217</v>
      </c>
      <c r="C585">
        <v>0</v>
      </c>
      <c r="D585" s="1">
        <v>10077.76</v>
      </c>
      <c r="E585">
        <v>0</v>
      </c>
      <c r="F585" s="1">
        <v>10472.77</v>
      </c>
      <c r="G585">
        <v>0</v>
      </c>
      <c r="H585">
        <v>0</v>
      </c>
      <c r="I585" s="59" t="s">
        <v>2</v>
      </c>
    </row>
    <row r="586" spans="1:9" x14ac:dyDescent="0.2">
      <c r="A586">
        <v>780</v>
      </c>
      <c r="B586">
        <v>1813218</v>
      </c>
      <c r="C586">
        <v>0</v>
      </c>
      <c r="D586" s="1">
        <v>2808.96</v>
      </c>
      <c r="E586">
        <v>0</v>
      </c>
      <c r="F586" s="1">
        <v>51551.67</v>
      </c>
      <c r="G586" s="1">
        <v>398000</v>
      </c>
      <c r="H586" s="1">
        <v>320440.86</v>
      </c>
      <c r="I586" s="59" t="s">
        <v>2</v>
      </c>
    </row>
    <row r="587" spans="1:9" x14ac:dyDescent="0.2">
      <c r="A587">
        <v>780</v>
      </c>
      <c r="B587">
        <v>1813219</v>
      </c>
      <c r="C587">
        <v>0</v>
      </c>
      <c r="D587" s="1">
        <v>6098.4</v>
      </c>
      <c r="E587">
        <v>0</v>
      </c>
      <c r="F587" s="1">
        <v>420221.51</v>
      </c>
      <c r="G587" s="1">
        <v>2693000</v>
      </c>
      <c r="H587" s="1">
        <v>3462544.2</v>
      </c>
      <c r="I587" s="59" t="s">
        <v>2</v>
      </c>
    </row>
    <row r="588" spans="1:9" x14ac:dyDescent="0.2">
      <c r="A588">
        <v>780</v>
      </c>
      <c r="B588">
        <v>1813220</v>
      </c>
      <c r="C588">
        <v>0</v>
      </c>
      <c r="D588" s="1">
        <v>339086.17</v>
      </c>
      <c r="E588">
        <v>0</v>
      </c>
      <c r="F588">
        <v>0</v>
      </c>
      <c r="G588">
        <v>0</v>
      </c>
      <c r="H588">
        <v>114.4</v>
      </c>
      <c r="I588" s="59" t="s">
        <v>2</v>
      </c>
    </row>
    <row r="589" spans="1:9" x14ac:dyDescent="0.2">
      <c r="A589">
        <v>780</v>
      </c>
      <c r="B589">
        <v>1813221</v>
      </c>
      <c r="C589">
        <v>0</v>
      </c>
      <c r="D589" s="1">
        <v>4275.04</v>
      </c>
      <c r="E589">
        <v>0</v>
      </c>
      <c r="F589" s="1">
        <v>21692</v>
      </c>
      <c r="G589">
        <v>0</v>
      </c>
      <c r="H589" s="1">
        <v>86845.95</v>
      </c>
      <c r="I589" s="59" t="s">
        <v>2</v>
      </c>
    </row>
    <row r="590" spans="1:9" x14ac:dyDescent="0.2">
      <c r="A590">
        <v>780</v>
      </c>
      <c r="B590">
        <v>1813222</v>
      </c>
      <c r="C590">
        <v>0</v>
      </c>
      <c r="D590" s="1">
        <v>3498.88</v>
      </c>
      <c r="E590">
        <v>0</v>
      </c>
      <c r="F590" s="1">
        <v>1506339.28</v>
      </c>
      <c r="G590" s="1">
        <v>150000</v>
      </c>
      <c r="H590" s="1">
        <v>324473</v>
      </c>
      <c r="I590" s="59" t="s">
        <v>2</v>
      </c>
    </row>
    <row r="591" spans="1:9" x14ac:dyDescent="0.2">
      <c r="A591">
        <v>780</v>
      </c>
      <c r="B591">
        <v>1813223</v>
      </c>
      <c r="C591">
        <v>0</v>
      </c>
      <c r="D591" s="1">
        <v>2069.7600000000002</v>
      </c>
      <c r="E591" s="1">
        <v>6000</v>
      </c>
      <c r="F591">
        <v>0</v>
      </c>
      <c r="G591" s="1">
        <v>6000</v>
      </c>
      <c r="H591" s="1">
        <v>5463</v>
      </c>
      <c r="I591" s="59" t="s">
        <v>2</v>
      </c>
    </row>
    <row r="592" spans="1:9" x14ac:dyDescent="0.2">
      <c r="A592">
        <v>780</v>
      </c>
      <c r="B592">
        <v>1813224</v>
      </c>
      <c r="C592">
        <v>0</v>
      </c>
      <c r="D592" s="1">
        <v>7355.04</v>
      </c>
      <c r="E592" s="1">
        <v>68627.8</v>
      </c>
      <c r="F592">
        <v>0</v>
      </c>
      <c r="G592" s="1">
        <v>1700000</v>
      </c>
      <c r="H592" s="1">
        <v>1290741</v>
      </c>
      <c r="I592" s="59" t="s">
        <v>2</v>
      </c>
    </row>
    <row r="593" spans="1:9" x14ac:dyDescent="0.2">
      <c r="A593">
        <v>780</v>
      </c>
      <c r="B593">
        <v>1813225</v>
      </c>
      <c r="C593">
        <v>0</v>
      </c>
      <c r="D593" s="1">
        <v>6443.36</v>
      </c>
      <c r="E593" s="1">
        <v>20508.8</v>
      </c>
      <c r="F593">
        <v>0</v>
      </c>
      <c r="G593" s="1">
        <v>84000</v>
      </c>
      <c r="H593">
        <v>0</v>
      </c>
      <c r="I593" s="59" t="s">
        <v>2</v>
      </c>
    </row>
    <row r="594" spans="1:9" x14ac:dyDescent="0.2">
      <c r="A594">
        <v>780</v>
      </c>
      <c r="B594">
        <v>1813230</v>
      </c>
      <c r="C594">
        <v>0</v>
      </c>
      <c r="D594" s="1">
        <v>229120.73</v>
      </c>
      <c r="E594">
        <v>0</v>
      </c>
      <c r="F594" s="1">
        <v>111094.85</v>
      </c>
      <c r="G594" s="1">
        <v>6605000</v>
      </c>
      <c r="H594" s="1">
        <v>6372693.5499999998</v>
      </c>
      <c r="I594" s="59" t="s">
        <v>2</v>
      </c>
    </row>
    <row r="595" spans="1:9" x14ac:dyDescent="0.2">
      <c r="A595">
        <v>780</v>
      </c>
      <c r="B595">
        <v>1813240</v>
      </c>
      <c r="C595">
        <v>0</v>
      </c>
      <c r="D595" s="1">
        <v>127767.44</v>
      </c>
      <c r="E595">
        <v>0</v>
      </c>
      <c r="F595" s="1">
        <v>179949.6</v>
      </c>
      <c r="G595">
        <v>0</v>
      </c>
      <c r="H595" s="1">
        <v>99208.86</v>
      </c>
      <c r="I595" s="59" t="s">
        <v>2</v>
      </c>
    </row>
    <row r="596" spans="1:9" x14ac:dyDescent="0.2">
      <c r="A596">
        <v>780</v>
      </c>
      <c r="B596">
        <v>1813270</v>
      </c>
      <c r="C596">
        <v>0</v>
      </c>
      <c r="D596" s="1">
        <v>450866.32</v>
      </c>
      <c r="E596" s="1">
        <v>139969.07999999999</v>
      </c>
      <c r="F596">
        <v>0</v>
      </c>
      <c r="G596" s="1">
        <v>4995000</v>
      </c>
      <c r="H596" s="1">
        <v>4642756.7</v>
      </c>
      <c r="I596" s="59" t="s">
        <v>2</v>
      </c>
    </row>
    <row r="597" spans="1:9" x14ac:dyDescent="0.2">
      <c r="A597">
        <v>780</v>
      </c>
      <c r="B597">
        <v>1813280</v>
      </c>
      <c r="C597">
        <v>0</v>
      </c>
      <c r="D597" s="1">
        <v>449551.67</v>
      </c>
      <c r="E597">
        <v>0</v>
      </c>
      <c r="F597" s="1">
        <v>17181.189999999999</v>
      </c>
      <c r="G597">
        <v>0</v>
      </c>
      <c r="H597">
        <v>0</v>
      </c>
      <c r="I597" s="59" t="s">
        <v>2</v>
      </c>
    </row>
    <row r="598" spans="1:9" x14ac:dyDescent="0.2">
      <c r="A598">
        <v>780</v>
      </c>
      <c r="B598">
        <v>1813300</v>
      </c>
      <c r="C598">
        <v>0</v>
      </c>
      <c r="D598" s="1">
        <v>1656339.28</v>
      </c>
      <c r="E598">
        <v>0</v>
      </c>
      <c r="F598" s="1">
        <v>29887.66</v>
      </c>
      <c r="G598" s="1">
        <v>1063000</v>
      </c>
      <c r="H598" s="1">
        <v>729107.81</v>
      </c>
      <c r="I598" s="59" t="s">
        <v>2</v>
      </c>
    </row>
    <row r="599" spans="1:9" x14ac:dyDescent="0.2">
      <c r="A599">
        <v>780</v>
      </c>
      <c r="B599">
        <v>1813700</v>
      </c>
      <c r="C599">
        <v>0</v>
      </c>
      <c r="D599" s="1">
        <v>27771.5</v>
      </c>
      <c r="E599" s="1">
        <v>33004.67</v>
      </c>
      <c r="F599">
        <v>0</v>
      </c>
      <c r="G599" s="1">
        <v>353000</v>
      </c>
      <c r="H599" s="1">
        <v>1196625.74</v>
      </c>
      <c r="I599" s="59" t="s">
        <v>2</v>
      </c>
    </row>
    <row r="600" spans="1:9" x14ac:dyDescent="0.2">
      <c r="A600">
        <v>780</v>
      </c>
      <c r="B600">
        <v>1817200</v>
      </c>
      <c r="C600">
        <v>0</v>
      </c>
      <c r="D600" s="1">
        <v>70595.77</v>
      </c>
      <c r="E600">
        <v>0</v>
      </c>
      <c r="F600">
        <v>0</v>
      </c>
      <c r="G600">
        <v>0</v>
      </c>
      <c r="H600" s="1">
        <v>24464.25</v>
      </c>
      <c r="I600" s="59" t="s">
        <v>2</v>
      </c>
    </row>
    <row r="601" spans="1:9" x14ac:dyDescent="0.2">
      <c r="A601">
        <v>780</v>
      </c>
      <c r="B601">
        <v>1822000</v>
      </c>
      <c r="C601">
        <v>0</v>
      </c>
      <c r="D601" s="1">
        <v>95000</v>
      </c>
      <c r="E601" s="1">
        <v>1000</v>
      </c>
      <c r="F601">
        <v>0</v>
      </c>
      <c r="G601" s="1">
        <v>1000</v>
      </c>
      <c r="H601">
        <v>0</v>
      </c>
      <c r="I601" s="59" t="s">
        <v>2</v>
      </c>
    </row>
    <row r="602" spans="1:9" x14ac:dyDescent="0.2">
      <c r="A602">
        <v>780</v>
      </c>
      <c r="B602">
        <v>1822100</v>
      </c>
      <c r="C602">
        <v>0</v>
      </c>
      <c r="D602" s="1">
        <v>11583.25</v>
      </c>
      <c r="E602">
        <v>0</v>
      </c>
      <c r="F602" s="1">
        <v>2771.5</v>
      </c>
      <c r="G602" s="1">
        <v>25000</v>
      </c>
      <c r="H602" s="1">
        <v>59944.480000000003</v>
      </c>
      <c r="I602" s="59" t="s">
        <v>2</v>
      </c>
    </row>
    <row r="603" spans="1:9" x14ac:dyDescent="0.2">
      <c r="A603">
        <v>780</v>
      </c>
      <c r="B603">
        <v>1822110</v>
      </c>
      <c r="C603">
        <v>0</v>
      </c>
      <c r="D603" s="1">
        <v>336925.72</v>
      </c>
      <c r="E603">
        <v>0</v>
      </c>
      <c r="F603" s="1">
        <v>2489.29</v>
      </c>
      <c r="G603" s="1">
        <v>3000</v>
      </c>
      <c r="H603">
        <v>0</v>
      </c>
      <c r="I603" s="59" t="s">
        <v>2</v>
      </c>
    </row>
    <row r="604" spans="1:9" x14ac:dyDescent="0.2">
      <c r="A604">
        <v>780</v>
      </c>
      <c r="B604">
        <v>1822111</v>
      </c>
      <c r="C604">
        <v>0</v>
      </c>
      <c r="D604" s="1">
        <v>85964.85</v>
      </c>
      <c r="E604" s="1">
        <v>1000</v>
      </c>
      <c r="F604">
        <v>0</v>
      </c>
      <c r="G604" s="1">
        <v>1000</v>
      </c>
      <c r="H604">
        <v>0</v>
      </c>
      <c r="I604" s="59" t="s">
        <v>2</v>
      </c>
    </row>
    <row r="605" spans="1:9" x14ac:dyDescent="0.2">
      <c r="A605">
        <v>780</v>
      </c>
      <c r="B605">
        <v>1822112</v>
      </c>
      <c r="C605">
        <v>0</v>
      </c>
      <c r="D605" s="1">
        <v>290215</v>
      </c>
      <c r="E605">
        <v>0</v>
      </c>
      <c r="F605" s="1">
        <v>6518.31</v>
      </c>
      <c r="G605" s="1">
        <v>27000</v>
      </c>
      <c r="H605" s="1">
        <v>27303.95</v>
      </c>
      <c r="I605" s="59" t="s">
        <v>2</v>
      </c>
    </row>
    <row r="606" spans="1:9" x14ac:dyDescent="0.2">
      <c r="A606">
        <v>780</v>
      </c>
      <c r="B606">
        <v>1822200</v>
      </c>
      <c r="C606">
        <v>0</v>
      </c>
      <c r="D606" s="1">
        <v>1000</v>
      </c>
      <c r="E606">
        <v>0</v>
      </c>
      <c r="F606">
        <v>0</v>
      </c>
      <c r="G606">
        <v>0</v>
      </c>
      <c r="H606" s="1">
        <v>5490</v>
      </c>
      <c r="I606" s="59" t="s">
        <v>2</v>
      </c>
    </row>
    <row r="607" spans="1:9" x14ac:dyDescent="0.2">
      <c r="A607">
        <v>780</v>
      </c>
      <c r="B607">
        <v>1822210</v>
      </c>
      <c r="C607">
        <v>0</v>
      </c>
      <c r="D607" s="1">
        <v>38561.199999999997</v>
      </c>
      <c r="E607">
        <v>9.76</v>
      </c>
      <c r="F607">
        <v>0</v>
      </c>
      <c r="G607" s="1">
        <v>5000</v>
      </c>
      <c r="H607" s="1">
        <v>38832.49</v>
      </c>
      <c r="I607" s="59" t="s">
        <v>2</v>
      </c>
    </row>
    <row r="608" spans="1:9" x14ac:dyDescent="0.2">
      <c r="A608">
        <v>780</v>
      </c>
      <c r="B608">
        <v>1822230</v>
      </c>
      <c r="C608">
        <v>0</v>
      </c>
      <c r="D608" s="1">
        <v>13059.1</v>
      </c>
      <c r="E608">
        <v>0</v>
      </c>
      <c r="F608" s="1">
        <v>3786</v>
      </c>
      <c r="G608" s="1">
        <v>8000</v>
      </c>
      <c r="H608">
        <v>0</v>
      </c>
      <c r="I608" s="59" t="s">
        <v>2</v>
      </c>
    </row>
    <row r="609" spans="1:9" x14ac:dyDescent="0.2">
      <c r="A609">
        <v>780</v>
      </c>
      <c r="B609">
        <v>1822300</v>
      </c>
      <c r="C609">
        <v>0</v>
      </c>
      <c r="D609" s="1">
        <v>478758</v>
      </c>
      <c r="E609" s="1">
        <v>1094.54</v>
      </c>
      <c r="F609">
        <v>0</v>
      </c>
      <c r="G609" s="1">
        <v>10000</v>
      </c>
      <c r="H609">
        <v>0</v>
      </c>
      <c r="I609" s="59" t="s">
        <v>2</v>
      </c>
    </row>
    <row r="610" spans="1:9" x14ac:dyDescent="0.2">
      <c r="A610">
        <v>780</v>
      </c>
      <c r="B610">
        <v>1822400</v>
      </c>
      <c r="C610">
        <v>0</v>
      </c>
      <c r="D610" s="1">
        <v>2719.5</v>
      </c>
      <c r="E610" s="1">
        <v>100000</v>
      </c>
      <c r="F610">
        <v>0</v>
      </c>
      <c r="G610" s="1">
        <v>100000</v>
      </c>
      <c r="H610">
        <v>0</v>
      </c>
      <c r="I610" s="59" t="s">
        <v>2</v>
      </c>
    </row>
    <row r="611" spans="1:9" x14ac:dyDescent="0.2">
      <c r="A611">
        <v>780</v>
      </c>
      <c r="B611">
        <v>1825110</v>
      </c>
      <c r="C611">
        <v>0</v>
      </c>
      <c r="D611" s="1">
        <v>2825926.32</v>
      </c>
      <c r="E611" s="1">
        <v>52741</v>
      </c>
      <c r="F611">
        <v>0</v>
      </c>
      <c r="G611" s="1">
        <v>100000</v>
      </c>
      <c r="H611" s="1">
        <v>179220</v>
      </c>
      <c r="I611" s="59" t="s">
        <v>2</v>
      </c>
    </row>
    <row r="612" spans="1:9" x14ac:dyDescent="0.2">
      <c r="A612">
        <v>780</v>
      </c>
      <c r="B612">
        <v>1825111</v>
      </c>
      <c r="C612">
        <v>0</v>
      </c>
      <c r="D612" s="1">
        <v>3000</v>
      </c>
      <c r="E612" s="1">
        <v>1341.74</v>
      </c>
      <c r="F612">
        <v>0</v>
      </c>
      <c r="G612" s="1">
        <v>120000</v>
      </c>
      <c r="H612">
        <v>0</v>
      </c>
      <c r="I612" s="59" t="s">
        <v>2</v>
      </c>
    </row>
    <row r="613" spans="1:9" x14ac:dyDescent="0.2">
      <c r="A613">
        <v>780</v>
      </c>
      <c r="B613">
        <v>1825112</v>
      </c>
      <c r="C613">
        <v>0</v>
      </c>
      <c r="D613" s="1">
        <v>2922</v>
      </c>
      <c r="E613">
        <v>0</v>
      </c>
      <c r="F613">
        <v>0</v>
      </c>
      <c r="G613" s="1">
        <v>100000</v>
      </c>
      <c r="H613" s="1">
        <v>100500</v>
      </c>
      <c r="I613" s="59" t="s">
        <v>2</v>
      </c>
    </row>
    <row r="614" spans="1:9" x14ac:dyDescent="0.2">
      <c r="A614">
        <v>780</v>
      </c>
      <c r="B614">
        <v>1825113</v>
      </c>
      <c r="C614">
        <v>0</v>
      </c>
      <c r="D614" s="1">
        <v>3551</v>
      </c>
      <c r="E614">
        <v>0</v>
      </c>
      <c r="F614" s="1">
        <v>34011.82</v>
      </c>
      <c r="G614" s="1">
        <v>231000</v>
      </c>
      <c r="H614" s="1">
        <v>350909.73</v>
      </c>
      <c r="I614" s="59" t="s">
        <v>2</v>
      </c>
    </row>
    <row r="615" spans="1:9" x14ac:dyDescent="0.2">
      <c r="A615">
        <v>780</v>
      </c>
      <c r="B615">
        <v>1825114</v>
      </c>
      <c r="C615">
        <v>0</v>
      </c>
      <c r="D615" s="1">
        <v>9769</v>
      </c>
      <c r="E615">
        <v>0</v>
      </c>
      <c r="F615" s="1">
        <v>15583.31</v>
      </c>
      <c r="G615" s="1">
        <v>494000</v>
      </c>
      <c r="H615" s="1">
        <v>573057.77</v>
      </c>
      <c r="I615" s="59" t="s">
        <v>2</v>
      </c>
    </row>
    <row r="616" spans="1:9" x14ac:dyDescent="0.2">
      <c r="A616">
        <v>780</v>
      </c>
      <c r="B616">
        <v>1826110</v>
      </c>
      <c r="C616">
        <v>0</v>
      </c>
      <c r="D616" s="1">
        <v>76177.8</v>
      </c>
      <c r="E616" s="1">
        <v>1805</v>
      </c>
      <c r="F616">
        <v>0</v>
      </c>
      <c r="G616" s="1">
        <v>2000</v>
      </c>
      <c r="H616" s="1">
        <v>3578.7</v>
      </c>
      <c r="I616" s="59" t="s">
        <v>2</v>
      </c>
    </row>
    <row r="617" spans="1:9" x14ac:dyDescent="0.2">
      <c r="A617">
        <v>780</v>
      </c>
      <c r="B617">
        <v>1826400</v>
      </c>
      <c r="C617">
        <v>0</v>
      </c>
      <c r="D617" s="1">
        <v>400000</v>
      </c>
      <c r="E617" s="1">
        <v>1291.92</v>
      </c>
      <c r="F617">
        <v>0</v>
      </c>
      <c r="G617" s="1">
        <v>2000</v>
      </c>
      <c r="H617">
        <v>0</v>
      </c>
      <c r="I617" s="59" t="s">
        <v>2</v>
      </c>
    </row>
    <row r="618" spans="1:9" x14ac:dyDescent="0.2">
      <c r="A618">
        <v>780</v>
      </c>
      <c r="B618">
        <v>1826420</v>
      </c>
      <c r="C618">
        <v>0</v>
      </c>
      <c r="D618" s="1">
        <v>71830.37</v>
      </c>
      <c r="E618">
        <v>0</v>
      </c>
      <c r="F618" s="1">
        <v>34511.160000000003</v>
      </c>
      <c r="G618" s="1">
        <v>3086000</v>
      </c>
      <c r="H618" s="1">
        <v>3092737.97</v>
      </c>
      <c r="I618" s="59" t="s">
        <v>2</v>
      </c>
    </row>
    <row r="619" spans="1:9" x14ac:dyDescent="0.2">
      <c r="A619">
        <v>780</v>
      </c>
      <c r="B619">
        <v>1827000</v>
      </c>
      <c r="C619">
        <v>0</v>
      </c>
      <c r="D619" s="1">
        <v>399986.5</v>
      </c>
      <c r="E619">
        <v>0</v>
      </c>
      <c r="F619" s="1">
        <v>69671</v>
      </c>
      <c r="G619">
        <v>0</v>
      </c>
      <c r="H619">
        <v>0</v>
      </c>
      <c r="I619" s="59" t="s">
        <v>2</v>
      </c>
    </row>
    <row r="620" spans="1:9" x14ac:dyDescent="0.2">
      <c r="A620">
        <v>780</v>
      </c>
      <c r="B620">
        <v>1827100</v>
      </c>
      <c r="C620">
        <v>0</v>
      </c>
      <c r="D620" s="1">
        <v>59996</v>
      </c>
      <c r="E620" s="1">
        <v>4347.28</v>
      </c>
      <c r="F620">
        <v>0</v>
      </c>
      <c r="G620" s="1">
        <v>7000</v>
      </c>
      <c r="H620" s="1">
        <v>7329.48</v>
      </c>
      <c r="I620" s="59" t="s">
        <v>2</v>
      </c>
    </row>
    <row r="621" spans="1:9" x14ac:dyDescent="0.2">
      <c r="A621">
        <v>780</v>
      </c>
      <c r="B621">
        <v>1827200</v>
      </c>
      <c r="C621">
        <v>0</v>
      </c>
      <c r="D621" s="1">
        <v>159887.5</v>
      </c>
      <c r="E621" s="1">
        <v>1500.68</v>
      </c>
      <c r="F621">
        <v>0</v>
      </c>
      <c r="G621" s="1">
        <v>10000</v>
      </c>
      <c r="H621" s="1">
        <v>3153.87</v>
      </c>
      <c r="I621" s="59" t="s">
        <v>2</v>
      </c>
    </row>
    <row r="622" spans="1:9" x14ac:dyDescent="0.2">
      <c r="A622">
        <v>780</v>
      </c>
      <c r="B622">
        <v>1827400</v>
      </c>
      <c r="C622">
        <v>0</v>
      </c>
      <c r="D622" s="1">
        <v>56523</v>
      </c>
      <c r="E622">
        <v>0</v>
      </c>
      <c r="F622" s="1">
        <v>6203.8</v>
      </c>
      <c r="G622" s="1">
        <v>40000</v>
      </c>
      <c r="H622" s="1">
        <v>40431.129999999997</v>
      </c>
      <c r="I622" s="59" t="s">
        <v>2</v>
      </c>
    </row>
    <row r="623" spans="1:9" x14ac:dyDescent="0.2">
      <c r="A623">
        <v>780</v>
      </c>
      <c r="B623">
        <v>1828000</v>
      </c>
      <c r="C623">
        <v>0</v>
      </c>
      <c r="D623" s="1">
        <v>86597.37</v>
      </c>
      <c r="E623">
        <v>156</v>
      </c>
      <c r="F623">
        <v>0</v>
      </c>
      <c r="G623" s="1">
        <v>4000</v>
      </c>
      <c r="H623">
        <v>0</v>
      </c>
      <c r="I623" s="59" t="s">
        <v>2</v>
      </c>
    </row>
    <row r="624" spans="1:9" x14ac:dyDescent="0.2">
      <c r="A624">
        <v>780</v>
      </c>
      <c r="B624">
        <v>1828100</v>
      </c>
      <c r="C624">
        <v>0</v>
      </c>
      <c r="D624" s="1">
        <v>135908.04999999999</v>
      </c>
      <c r="E624" s="1">
        <v>3560.6</v>
      </c>
      <c r="F624">
        <v>0</v>
      </c>
      <c r="G624" s="1">
        <v>6000</v>
      </c>
      <c r="H624">
        <v>0</v>
      </c>
      <c r="I624" s="59" t="s">
        <v>2</v>
      </c>
    </row>
    <row r="625" spans="1:9" x14ac:dyDescent="0.2">
      <c r="A625">
        <v>780</v>
      </c>
      <c r="B625">
        <v>1828120</v>
      </c>
      <c r="C625">
        <v>0</v>
      </c>
      <c r="D625" s="1">
        <v>399998.2</v>
      </c>
      <c r="E625">
        <v>296</v>
      </c>
      <c r="F625">
        <v>0</v>
      </c>
      <c r="G625" s="1">
        <v>1000</v>
      </c>
      <c r="H625">
        <v>0</v>
      </c>
      <c r="I625" s="59" t="s">
        <v>2</v>
      </c>
    </row>
    <row r="626" spans="1:9" x14ac:dyDescent="0.2">
      <c r="A626">
        <v>780</v>
      </c>
      <c r="B626">
        <v>1828200</v>
      </c>
      <c r="C626">
        <v>0</v>
      </c>
      <c r="D626" s="1">
        <v>27024.71</v>
      </c>
      <c r="E626" s="1">
        <v>64036.98</v>
      </c>
      <c r="F626">
        <v>0</v>
      </c>
      <c r="G626" s="1">
        <v>887000</v>
      </c>
      <c r="H626" s="1">
        <v>891941.29</v>
      </c>
      <c r="I626" s="59" t="s">
        <v>2</v>
      </c>
    </row>
    <row r="627" spans="1:9" x14ac:dyDescent="0.2">
      <c r="A627">
        <v>780</v>
      </c>
      <c r="B627">
        <v>1860000</v>
      </c>
      <c r="C627">
        <v>0</v>
      </c>
      <c r="D627" s="1">
        <v>69677.63</v>
      </c>
      <c r="E627">
        <v>0</v>
      </c>
      <c r="F627" s="1">
        <v>950806.14</v>
      </c>
      <c r="G627" s="1">
        <v>4885000</v>
      </c>
      <c r="H627" s="1">
        <v>6513253.4800000004</v>
      </c>
      <c r="I627" s="59" t="s">
        <v>2</v>
      </c>
    </row>
    <row r="628" spans="1:9" x14ac:dyDescent="0.2">
      <c r="A628">
        <v>780</v>
      </c>
      <c r="B628">
        <v>1913000</v>
      </c>
      <c r="C628">
        <v>0</v>
      </c>
      <c r="D628" s="1">
        <v>2483.5</v>
      </c>
      <c r="E628">
        <v>0</v>
      </c>
      <c r="F628" s="1">
        <v>30729.53</v>
      </c>
      <c r="G628" s="1">
        <v>209000</v>
      </c>
      <c r="H628" s="1">
        <v>240288.59</v>
      </c>
      <c r="I628" s="59" t="s">
        <v>2</v>
      </c>
    </row>
    <row r="629" spans="1:9" x14ac:dyDescent="0.2">
      <c r="A629">
        <v>780</v>
      </c>
      <c r="B629">
        <v>1933000</v>
      </c>
      <c r="C629">
        <v>0</v>
      </c>
      <c r="D629" s="1">
        <v>50104.49</v>
      </c>
      <c r="E629">
        <v>0</v>
      </c>
      <c r="F629" s="1">
        <v>5635.34</v>
      </c>
      <c r="G629">
        <v>0</v>
      </c>
      <c r="H629">
        <v>0</v>
      </c>
      <c r="I629" s="59" t="s">
        <v>2</v>
      </c>
    </row>
    <row r="630" spans="1:9" x14ac:dyDescent="0.2">
      <c r="A630">
        <v>780</v>
      </c>
      <c r="B630">
        <v>1933100</v>
      </c>
      <c r="C630">
        <v>0</v>
      </c>
      <c r="D630" s="1">
        <v>8061.49</v>
      </c>
      <c r="E630">
        <v>0</v>
      </c>
      <c r="F630">
        <v>100</v>
      </c>
      <c r="G630" s="1">
        <v>2000</v>
      </c>
      <c r="H630" s="1">
        <v>2287</v>
      </c>
      <c r="I630" s="59" t="s">
        <v>2</v>
      </c>
    </row>
    <row r="631" spans="1:9" x14ac:dyDescent="0.2">
      <c r="A631">
        <v>780</v>
      </c>
      <c r="B631">
        <v>1933200</v>
      </c>
      <c r="C631">
        <v>0</v>
      </c>
      <c r="D631" s="1">
        <v>31881.96</v>
      </c>
      <c r="E631">
        <v>0</v>
      </c>
      <c r="F631" s="1">
        <v>752201.31</v>
      </c>
      <c r="G631" s="1">
        <v>2027000</v>
      </c>
      <c r="H631" s="1">
        <v>2826606.3</v>
      </c>
      <c r="I631" s="59" t="s">
        <v>2</v>
      </c>
    </row>
    <row r="632" spans="1:9" x14ac:dyDescent="0.2">
      <c r="A632">
        <v>780</v>
      </c>
      <c r="B632">
        <v>1933300</v>
      </c>
      <c r="C632">
        <v>0</v>
      </c>
      <c r="D632" s="1">
        <v>9828</v>
      </c>
      <c r="E632">
        <v>0</v>
      </c>
      <c r="F632" s="1">
        <v>15614.59</v>
      </c>
      <c r="G632" s="1">
        <v>1378000</v>
      </c>
      <c r="H632" s="1">
        <v>1400765.27</v>
      </c>
      <c r="I632" s="59" t="s">
        <v>2</v>
      </c>
    </row>
    <row r="633" spans="1:9" x14ac:dyDescent="0.2">
      <c r="A633">
        <v>780</v>
      </c>
      <c r="B633">
        <v>1943000</v>
      </c>
      <c r="C633">
        <v>0</v>
      </c>
      <c r="D633" s="1">
        <v>1629882.08</v>
      </c>
      <c r="E633">
        <v>0</v>
      </c>
      <c r="F633" s="1">
        <v>7816.4</v>
      </c>
      <c r="G633" s="1">
        <v>25000</v>
      </c>
      <c r="H633" s="1">
        <v>37701.449999999997</v>
      </c>
      <c r="I633" s="59" t="s">
        <v>2</v>
      </c>
    </row>
    <row r="634" spans="1:9" x14ac:dyDescent="0.2">
      <c r="A634">
        <v>780</v>
      </c>
      <c r="B634">
        <v>1943100</v>
      </c>
      <c r="C634">
        <v>0</v>
      </c>
      <c r="D634" s="1">
        <v>5773.5</v>
      </c>
      <c r="E634">
        <v>0</v>
      </c>
      <c r="F634" s="1">
        <v>1383</v>
      </c>
      <c r="G634" s="1">
        <v>7000</v>
      </c>
      <c r="H634" s="1">
        <v>6786</v>
      </c>
      <c r="I634" s="59">
        <f>SUM(D558:D634)/1000</f>
        <v>13829.275220000001</v>
      </c>
    </row>
    <row r="635" spans="1:9" x14ac:dyDescent="0.2">
      <c r="A635">
        <v>781</v>
      </c>
      <c r="B635">
        <v>1772000</v>
      </c>
      <c r="C635">
        <v>0</v>
      </c>
      <c r="D635" s="1">
        <v>32951.78</v>
      </c>
      <c r="E635">
        <v>0</v>
      </c>
      <c r="F635" s="1">
        <v>25104.16</v>
      </c>
      <c r="G635" s="1">
        <v>163000</v>
      </c>
      <c r="H635" s="1">
        <v>239885.78</v>
      </c>
      <c r="I635" s="59" t="s">
        <v>2</v>
      </c>
    </row>
    <row r="636" spans="1:9" x14ac:dyDescent="0.2">
      <c r="A636">
        <v>781</v>
      </c>
      <c r="B636">
        <v>1772200</v>
      </c>
      <c r="C636">
        <v>0</v>
      </c>
      <c r="D636" s="1">
        <v>100000</v>
      </c>
      <c r="E636" s="1">
        <v>86949.7</v>
      </c>
      <c r="F636">
        <v>0</v>
      </c>
      <c r="G636" s="1">
        <v>1049000</v>
      </c>
      <c r="H636" s="1">
        <v>884126.7</v>
      </c>
      <c r="I636" s="59">
        <f>SUM(D635:D636)/1000</f>
        <v>132.95177999999999</v>
      </c>
    </row>
    <row r="637" spans="1:9" x14ac:dyDescent="0.2">
      <c r="A637">
        <v>782</v>
      </c>
      <c r="B637">
        <v>1611000</v>
      </c>
      <c r="C637">
        <v>0</v>
      </c>
      <c r="D637" s="1">
        <v>8583.14</v>
      </c>
      <c r="E637">
        <v>0</v>
      </c>
      <c r="F637">
        <v>0</v>
      </c>
      <c r="G637">
        <v>0</v>
      </c>
      <c r="H637" s="1">
        <v>1230.6400000000001</v>
      </c>
      <c r="I637" s="59" t="s">
        <v>2</v>
      </c>
    </row>
    <row r="638" spans="1:9" x14ac:dyDescent="0.2">
      <c r="A638">
        <v>782</v>
      </c>
      <c r="B638">
        <v>1611200</v>
      </c>
      <c r="C638">
        <v>0</v>
      </c>
      <c r="D638" s="1">
        <v>30202.52</v>
      </c>
      <c r="E638" s="1">
        <v>1129.73</v>
      </c>
      <c r="F638">
        <v>0</v>
      </c>
      <c r="G638" s="1">
        <v>11000</v>
      </c>
      <c r="H638" s="1">
        <v>12242.29</v>
      </c>
      <c r="I638" s="59" t="s">
        <v>2</v>
      </c>
    </row>
    <row r="639" spans="1:9" x14ac:dyDescent="0.2">
      <c r="A639">
        <v>782</v>
      </c>
      <c r="B639">
        <v>1611300</v>
      </c>
      <c r="C639">
        <v>0</v>
      </c>
      <c r="D639" s="1">
        <v>2254.1</v>
      </c>
      <c r="E639" s="1">
        <v>3191.31</v>
      </c>
      <c r="F639">
        <v>0</v>
      </c>
      <c r="G639" s="1">
        <v>5000</v>
      </c>
      <c r="H639" s="1">
        <v>1715.87</v>
      </c>
      <c r="I639" s="59" t="s">
        <v>2</v>
      </c>
    </row>
    <row r="640" spans="1:9" x14ac:dyDescent="0.2">
      <c r="A640">
        <v>782</v>
      </c>
      <c r="B640">
        <v>1611400</v>
      </c>
      <c r="C640">
        <v>0</v>
      </c>
      <c r="D640" s="1">
        <v>2943.68</v>
      </c>
      <c r="E640">
        <v>974.2</v>
      </c>
      <c r="F640">
        <v>0</v>
      </c>
      <c r="G640" s="1">
        <v>33000</v>
      </c>
      <c r="H640" s="1">
        <v>41843.54</v>
      </c>
      <c r="I640" s="59" t="s">
        <v>2</v>
      </c>
    </row>
    <row r="641" spans="1:9" x14ac:dyDescent="0.2">
      <c r="A641">
        <v>782</v>
      </c>
      <c r="B641">
        <v>1611500</v>
      </c>
      <c r="C641">
        <v>0</v>
      </c>
      <c r="D641" s="1">
        <v>2534.92</v>
      </c>
      <c r="E641" s="1">
        <v>41000</v>
      </c>
      <c r="F641">
        <v>0</v>
      </c>
      <c r="G641" s="1">
        <v>136000</v>
      </c>
      <c r="H641" s="1">
        <v>320000</v>
      </c>
      <c r="I641" s="59" t="s">
        <v>2</v>
      </c>
    </row>
    <row r="642" spans="1:9" x14ac:dyDescent="0.2">
      <c r="A642">
        <v>782</v>
      </c>
      <c r="B642">
        <v>1611510</v>
      </c>
      <c r="C642">
        <v>0</v>
      </c>
      <c r="D642" s="1">
        <v>1523.7</v>
      </c>
      <c r="E642" s="1">
        <v>3416.75</v>
      </c>
      <c r="F642">
        <v>0</v>
      </c>
      <c r="G642" s="1">
        <v>15000</v>
      </c>
      <c r="H642" s="1">
        <v>18881</v>
      </c>
      <c r="I642" s="59" t="s">
        <v>2</v>
      </c>
    </row>
    <row r="643" spans="1:9" x14ac:dyDescent="0.2">
      <c r="A643">
        <v>782</v>
      </c>
      <c r="B643">
        <v>1612000</v>
      </c>
      <c r="C643">
        <v>0</v>
      </c>
      <c r="D643" s="1">
        <v>2480</v>
      </c>
      <c r="E643">
        <v>0</v>
      </c>
      <c r="F643">
        <v>200.31</v>
      </c>
      <c r="G643" s="1">
        <v>1000</v>
      </c>
      <c r="H643" s="1">
        <v>1512.15</v>
      </c>
      <c r="I643" s="59" t="s">
        <v>2</v>
      </c>
    </row>
    <row r="644" spans="1:9" x14ac:dyDescent="0.2">
      <c r="A644">
        <v>782</v>
      </c>
      <c r="B644">
        <v>1612100</v>
      </c>
      <c r="C644">
        <v>0</v>
      </c>
      <c r="D644">
        <v>386.5</v>
      </c>
      <c r="E644" s="1">
        <v>13074.28</v>
      </c>
      <c r="F644">
        <v>0</v>
      </c>
      <c r="G644" s="1">
        <v>350000</v>
      </c>
      <c r="H644" s="1">
        <v>201275.1</v>
      </c>
      <c r="I644" s="59" t="s">
        <v>2</v>
      </c>
    </row>
    <row r="645" spans="1:9" x14ac:dyDescent="0.2">
      <c r="A645">
        <v>782</v>
      </c>
      <c r="B645">
        <v>1613000</v>
      </c>
      <c r="C645">
        <v>0</v>
      </c>
      <c r="D645" s="1">
        <v>124736.16</v>
      </c>
      <c r="E645" s="1">
        <v>4035.15</v>
      </c>
      <c r="F645">
        <v>0</v>
      </c>
      <c r="G645" s="1">
        <v>90000</v>
      </c>
      <c r="H645" s="1">
        <v>183850.41</v>
      </c>
      <c r="I645" s="59" t="s">
        <v>2</v>
      </c>
    </row>
    <row r="646" spans="1:9" x14ac:dyDescent="0.2">
      <c r="A646">
        <v>782</v>
      </c>
      <c r="B646">
        <v>1613100</v>
      </c>
      <c r="C646">
        <v>0</v>
      </c>
      <c r="D646" s="1">
        <v>2048.46</v>
      </c>
      <c r="E646" s="1">
        <v>24785</v>
      </c>
      <c r="F646">
        <v>0</v>
      </c>
      <c r="G646" s="1">
        <v>315000</v>
      </c>
      <c r="H646">
        <v>0</v>
      </c>
      <c r="I646" s="59" t="s">
        <v>2</v>
      </c>
    </row>
    <row r="647" spans="1:9" x14ac:dyDescent="0.2">
      <c r="A647">
        <v>782</v>
      </c>
      <c r="B647">
        <v>1613200</v>
      </c>
      <c r="C647">
        <v>0</v>
      </c>
      <c r="D647" s="1">
        <v>54088.9</v>
      </c>
      <c r="E647">
        <v>0</v>
      </c>
      <c r="F647" s="1">
        <v>1121.81</v>
      </c>
      <c r="G647" s="1">
        <v>1000</v>
      </c>
      <c r="H647">
        <v>0</v>
      </c>
      <c r="I647" s="59" t="s">
        <v>2</v>
      </c>
    </row>
    <row r="648" spans="1:9" x14ac:dyDescent="0.2">
      <c r="A648">
        <v>782</v>
      </c>
      <c r="B648">
        <v>1613300</v>
      </c>
      <c r="C648">
        <v>0</v>
      </c>
      <c r="D648" s="1">
        <v>28794.5</v>
      </c>
      <c r="E648" s="1">
        <v>3039.49</v>
      </c>
      <c r="F648">
        <v>0</v>
      </c>
      <c r="G648" s="1">
        <v>10000</v>
      </c>
      <c r="H648" s="1">
        <v>21466.63</v>
      </c>
      <c r="I648" s="59" t="s">
        <v>2</v>
      </c>
    </row>
    <row r="649" spans="1:9" x14ac:dyDescent="0.2">
      <c r="A649">
        <v>782</v>
      </c>
      <c r="B649">
        <v>1613400</v>
      </c>
      <c r="C649">
        <v>0</v>
      </c>
      <c r="D649" s="1">
        <v>20576.36</v>
      </c>
      <c r="E649">
        <v>0</v>
      </c>
      <c r="F649">
        <v>935.74</v>
      </c>
      <c r="G649" s="1">
        <v>5000</v>
      </c>
      <c r="H649" s="1">
        <v>1341.47</v>
      </c>
      <c r="I649" s="59" t="s">
        <v>2</v>
      </c>
    </row>
    <row r="650" spans="1:9" x14ac:dyDescent="0.2">
      <c r="A650">
        <v>782</v>
      </c>
      <c r="B650">
        <v>1613500</v>
      </c>
      <c r="C650">
        <v>0</v>
      </c>
      <c r="D650" s="1">
        <v>9114</v>
      </c>
      <c r="E650">
        <v>932</v>
      </c>
      <c r="F650">
        <v>0</v>
      </c>
      <c r="G650" s="1">
        <v>1000</v>
      </c>
      <c r="H650">
        <v>763</v>
      </c>
      <c r="I650" s="59" t="s">
        <v>2</v>
      </c>
    </row>
    <row r="651" spans="1:9" x14ac:dyDescent="0.2">
      <c r="A651">
        <v>782</v>
      </c>
      <c r="B651">
        <v>1613600</v>
      </c>
      <c r="C651">
        <v>0</v>
      </c>
      <c r="D651">
        <v>257</v>
      </c>
      <c r="E651" s="1">
        <v>9895.42</v>
      </c>
      <c r="F651">
        <v>0</v>
      </c>
      <c r="G651">
        <v>0</v>
      </c>
      <c r="H651" s="1">
        <v>33312.89</v>
      </c>
      <c r="I651" s="59" t="s">
        <v>2</v>
      </c>
    </row>
    <row r="652" spans="1:9" x14ac:dyDescent="0.2">
      <c r="A652">
        <v>782</v>
      </c>
      <c r="B652">
        <v>1613700</v>
      </c>
      <c r="C652">
        <v>0</v>
      </c>
      <c r="D652">
        <v>388.8</v>
      </c>
      <c r="E652" s="1">
        <v>9000</v>
      </c>
      <c r="F652">
        <v>0</v>
      </c>
      <c r="G652" s="1">
        <v>10000</v>
      </c>
      <c r="H652" s="1">
        <v>116298.8</v>
      </c>
      <c r="I652" s="59" t="s">
        <v>2</v>
      </c>
    </row>
    <row r="653" spans="1:9" x14ac:dyDescent="0.2">
      <c r="A653">
        <v>782</v>
      </c>
      <c r="B653">
        <v>1613910</v>
      </c>
      <c r="C653">
        <v>0</v>
      </c>
      <c r="D653" s="1">
        <v>3222.41</v>
      </c>
      <c r="E653">
        <v>0</v>
      </c>
      <c r="F653">
        <v>0</v>
      </c>
      <c r="G653">
        <v>0</v>
      </c>
      <c r="H653">
        <v>234</v>
      </c>
      <c r="I653" s="59" t="s">
        <v>2</v>
      </c>
    </row>
    <row r="654" spans="1:9" x14ac:dyDescent="0.2">
      <c r="A654">
        <v>782</v>
      </c>
      <c r="B654">
        <v>1617000</v>
      </c>
      <c r="C654">
        <v>0</v>
      </c>
      <c r="D654" s="1">
        <v>591089.84</v>
      </c>
      <c r="E654" s="1">
        <v>1000</v>
      </c>
      <c r="F654">
        <v>0</v>
      </c>
      <c r="G654" s="1">
        <v>1000</v>
      </c>
      <c r="H654">
        <v>696</v>
      </c>
      <c r="I654" s="59" t="s">
        <v>2</v>
      </c>
    </row>
    <row r="655" spans="1:9" x14ac:dyDescent="0.2">
      <c r="A655">
        <v>782</v>
      </c>
      <c r="B655">
        <v>1621000</v>
      </c>
      <c r="C655">
        <v>0</v>
      </c>
      <c r="D655" s="1">
        <v>27130.54</v>
      </c>
      <c r="E655" s="1">
        <v>1438.8</v>
      </c>
      <c r="F655">
        <v>0</v>
      </c>
      <c r="G655" s="1">
        <v>40000</v>
      </c>
      <c r="H655" s="1">
        <v>129843</v>
      </c>
      <c r="I655" s="59" t="s">
        <v>2</v>
      </c>
    </row>
    <row r="656" spans="1:9" x14ac:dyDescent="0.2">
      <c r="A656">
        <v>782</v>
      </c>
      <c r="B656">
        <v>1621100</v>
      </c>
      <c r="C656">
        <v>0</v>
      </c>
      <c r="D656" s="1">
        <v>1769</v>
      </c>
      <c r="E656" s="1">
        <v>1000</v>
      </c>
      <c r="F656">
        <v>0</v>
      </c>
      <c r="G656" s="1">
        <v>1000</v>
      </c>
      <c r="H656">
        <v>0</v>
      </c>
      <c r="I656" s="59" t="s">
        <v>2</v>
      </c>
    </row>
    <row r="657" spans="1:9" x14ac:dyDescent="0.2">
      <c r="A657">
        <v>782</v>
      </c>
      <c r="B657">
        <v>1621200</v>
      </c>
      <c r="C657">
        <v>0</v>
      </c>
      <c r="D657">
        <v>752</v>
      </c>
      <c r="E657" s="1">
        <v>12940.9</v>
      </c>
      <c r="F657">
        <v>0</v>
      </c>
      <c r="G657" s="1">
        <v>26000</v>
      </c>
      <c r="H657">
        <v>0</v>
      </c>
      <c r="I657" s="59" t="s">
        <v>2</v>
      </c>
    </row>
    <row r="658" spans="1:9" x14ac:dyDescent="0.2">
      <c r="A658">
        <v>782</v>
      </c>
      <c r="B658">
        <v>1621210</v>
      </c>
      <c r="C658">
        <v>0</v>
      </c>
      <c r="D658" s="1">
        <v>2649.4</v>
      </c>
      <c r="E658">
        <v>0</v>
      </c>
      <c r="F658" s="1">
        <v>403758</v>
      </c>
      <c r="G658" s="1">
        <v>75000</v>
      </c>
      <c r="H658" s="1">
        <v>548743</v>
      </c>
      <c r="I658" s="59" t="s">
        <v>2</v>
      </c>
    </row>
    <row r="659" spans="1:9" x14ac:dyDescent="0.2">
      <c r="A659">
        <v>782</v>
      </c>
      <c r="B659">
        <v>1621300</v>
      </c>
      <c r="C659">
        <v>0</v>
      </c>
      <c r="D659" s="1">
        <v>4980.6000000000004</v>
      </c>
      <c r="E659">
        <v>280.5</v>
      </c>
      <c r="F659">
        <v>0</v>
      </c>
      <c r="G659" s="1">
        <v>3000</v>
      </c>
      <c r="H659">
        <v>0</v>
      </c>
      <c r="I659" s="59" t="s">
        <v>2</v>
      </c>
    </row>
    <row r="660" spans="1:9" x14ac:dyDescent="0.2">
      <c r="A660">
        <v>782</v>
      </c>
      <c r="B660">
        <v>1623000</v>
      </c>
      <c r="C660">
        <v>0</v>
      </c>
      <c r="D660">
        <v>839.2</v>
      </c>
      <c r="E660" s="1">
        <v>16381.31</v>
      </c>
      <c r="F660">
        <v>0</v>
      </c>
      <c r="G660" s="1">
        <v>1304000</v>
      </c>
      <c r="H660" s="1">
        <v>1327712.77</v>
      </c>
      <c r="I660" s="59" t="s">
        <v>2</v>
      </c>
    </row>
    <row r="661" spans="1:9" x14ac:dyDescent="0.2">
      <c r="A661">
        <v>782</v>
      </c>
      <c r="B661">
        <v>1623100</v>
      </c>
      <c r="C661">
        <v>0</v>
      </c>
      <c r="D661" s="1">
        <v>33345</v>
      </c>
      <c r="E661">
        <v>0</v>
      </c>
      <c r="F661" s="1">
        <v>14887</v>
      </c>
      <c r="G661">
        <v>0</v>
      </c>
      <c r="H661" s="1">
        <v>1046</v>
      </c>
      <c r="I661" s="59" t="s">
        <v>2</v>
      </c>
    </row>
    <row r="662" spans="1:9" x14ac:dyDescent="0.2">
      <c r="A662">
        <v>782</v>
      </c>
      <c r="B662">
        <v>1623200</v>
      </c>
      <c r="C662">
        <v>0</v>
      </c>
      <c r="D662" s="1">
        <v>4695.2</v>
      </c>
      <c r="E662">
        <v>0</v>
      </c>
      <c r="F662" s="1">
        <v>6735.4</v>
      </c>
      <c r="G662" s="1">
        <v>7000</v>
      </c>
      <c r="H662" s="1">
        <v>6321.9</v>
      </c>
      <c r="I662" s="59" t="s">
        <v>2</v>
      </c>
    </row>
    <row r="663" spans="1:9" x14ac:dyDescent="0.2">
      <c r="A663">
        <v>782</v>
      </c>
      <c r="B663">
        <v>1623300</v>
      </c>
      <c r="C663">
        <v>0</v>
      </c>
      <c r="D663" s="1">
        <v>3701.14</v>
      </c>
      <c r="E663">
        <v>304.63</v>
      </c>
      <c r="F663">
        <v>0</v>
      </c>
      <c r="G663" s="1">
        <v>5000</v>
      </c>
      <c r="H663">
        <v>0</v>
      </c>
      <c r="I663" s="59" t="s">
        <v>2</v>
      </c>
    </row>
    <row r="664" spans="1:9" x14ac:dyDescent="0.2">
      <c r="A664">
        <v>782</v>
      </c>
      <c r="B664">
        <v>1623500</v>
      </c>
      <c r="C664">
        <v>0</v>
      </c>
      <c r="D664" s="1">
        <v>146354.99</v>
      </c>
      <c r="E664" s="1">
        <v>2196.09</v>
      </c>
      <c r="F664">
        <v>0</v>
      </c>
      <c r="G664" s="1">
        <v>15000</v>
      </c>
      <c r="H664" s="1">
        <v>33932.74</v>
      </c>
      <c r="I664" s="59" t="s">
        <v>2</v>
      </c>
    </row>
    <row r="665" spans="1:9" x14ac:dyDescent="0.2">
      <c r="A665">
        <v>782</v>
      </c>
      <c r="B665">
        <v>1711000</v>
      </c>
      <c r="C665">
        <v>0</v>
      </c>
      <c r="D665" s="1">
        <v>139562</v>
      </c>
      <c r="E665" s="1">
        <v>1000</v>
      </c>
      <c r="F665">
        <v>0</v>
      </c>
      <c r="G665" s="1">
        <v>1000</v>
      </c>
      <c r="H665">
        <v>0</v>
      </c>
      <c r="I665" s="59" t="s">
        <v>2</v>
      </c>
    </row>
    <row r="666" spans="1:9" x14ac:dyDescent="0.2">
      <c r="A666">
        <v>782</v>
      </c>
      <c r="B666">
        <v>1711100</v>
      </c>
      <c r="C666">
        <v>0</v>
      </c>
      <c r="D666" s="1">
        <v>5274.5</v>
      </c>
      <c r="E666">
        <v>283.66000000000003</v>
      </c>
      <c r="F666">
        <v>0</v>
      </c>
      <c r="G666" s="1">
        <v>335000</v>
      </c>
      <c r="H666" s="1">
        <v>689123.86</v>
      </c>
      <c r="I666" s="59" t="s">
        <v>2</v>
      </c>
    </row>
    <row r="667" spans="1:9" x14ac:dyDescent="0.2">
      <c r="A667">
        <v>782</v>
      </c>
      <c r="B667">
        <v>1712400</v>
      </c>
      <c r="C667">
        <v>0</v>
      </c>
      <c r="D667" s="1">
        <v>2297918.36</v>
      </c>
      <c r="E667">
        <v>0</v>
      </c>
      <c r="F667" s="1">
        <v>1989</v>
      </c>
      <c r="G667" s="1">
        <v>1600000</v>
      </c>
      <c r="H667" s="1">
        <v>1688000</v>
      </c>
      <c r="I667" s="59" t="s">
        <v>2</v>
      </c>
    </row>
    <row r="668" spans="1:9" x14ac:dyDescent="0.2">
      <c r="A668">
        <v>782</v>
      </c>
      <c r="B668">
        <v>1712410</v>
      </c>
      <c r="C668">
        <v>0</v>
      </c>
      <c r="D668" s="1">
        <v>7334697.1900000004</v>
      </c>
      <c r="E668">
        <v>0</v>
      </c>
      <c r="F668" s="1">
        <v>41042.19</v>
      </c>
      <c r="G668" s="1">
        <v>142000</v>
      </c>
      <c r="H668" s="1">
        <v>154764.32999999999</v>
      </c>
      <c r="I668" s="59" t="s">
        <v>2</v>
      </c>
    </row>
    <row r="669" spans="1:9" x14ac:dyDescent="0.2">
      <c r="A669">
        <v>782</v>
      </c>
      <c r="B669">
        <v>1721000</v>
      </c>
      <c r="C669">
        <v>0</v>
      </c>
      <c r="D669" s="1">
        <v>58996.5</v>
      </c>
      <c r="E669">
        <v>0</v>
      </c>
      <c r="F669">
        <v>0</v>
      </c>
      <c r="G669" s="1">
        <v>130000</v>
      </c>
      <c r="H669">
        <v>0</v>
      </c>
      <c r="I669" s="59" t="s">
        <v>2</v>
      </c>
    </row>
    <row r="670" spans="1:9" x14ac:dyDescent="0.2">
      <c r="A670">
        <v>782</v>
      </c>
      <c r="B670">
        <v>1721100</v>
      </c>
      <c r="C670">
        <v>0</v>
      </c>
      <c r="D670" s="1">
        <v>7937.66</v>
      </c>
      <c r="E670" s="1">
        <v>28773.89</v>
      </c>
      <c r="F670">
        <v>0</v>
      </c>
      <c r="G670" s="1">
        <v>547000</v>
      </c>
      <c r="H670" s="1">
        <v>495970.38</v>
      </c>
      <c r="I670" s="59" t="s">
        <v>2</v>
      </c>
    </row>
    <row r="671" spans="1:9" x14ac:dyDescent="0.2">
      <c r="A671">
        <v>782</v>
      </c>
      <c r="B671">
        <v>1721200</v>
      </c>
      <c r="C671">
        <v>0</v>
      </c>
      <c r="D671" s="1">
        <v>1665.4</v>
      </c>
      <c r="E671">
        <v>0</v>
      </c>
      <c r="F671" s="1">
        <v>3500</v>
      </c>
      <c r="G671">
        <v>0</v>
      </c>
      <c r="H671">
        <v>0</v>
      </c>
      <c r="I671" s="59" t="s">
        <v>2</v>
      </c>
    </row>
    <row r="672" spans="1:9" x14ac:dyDescent="0.2">
      <c r="A672">
        <v>782</v>
      </c>
      <c r="B672">
        <v>1732000</v>
      </c>
      <c r="C672">
        <v>0</v>
      </c>
      <c r="D672" s="1">
        <v>3439.46</v>
      </c>
      <c r="E672">
        <v>0</v>
      </c>
      <c r="F672">
        <v>0</v>
      </c>
      <c r="G672" s="1">
        <v>3000</v>
      </c>
      <c r="H672">
        <v>0</v>
      </c>
      <c r="I672" s="59" t="s">
        <v>2</v>
      </c>
    </row>
    <row r="673" spans="1:9" x14ac:dyDescent="0.2">
      <c r="A673">
        <v>782</v>
      </c>
      <c r="B673">
        <v>1746000</v>
      </c>
      <c r="C673">
        <v>0</v>
      </c>
      <c r="D673" s="1">
        <v>14704.3</v>
      </c>
      <c r="E673" s="1">
        <v>2078</v>
      </c>
      <c r="F673">
        <v>0</v>
      </c>
      <c r="G673" s="1">
        <v>5000</v>
      </c>
      <c r="H673">
        <v>0</v>
      </c>
      <c r="I673" s="59" t="s">
        <v>2</v>
      </c>
    </row>
    <row r="674" spans="1:9" x14ac:dyDescent="0.2">
      <c r="A674">
        <v>782</v>
      </c>
      <c r="B674">
        <v>1761000</v>
      </c>
      <c r="C674">
        <v>0</v>
      </c>
      <c r="D674">
        <v>907.5</v>
      </c>
      <c r="E674">
        <v>449</v>
      </c>
      <c r="F674">
        <v>0</v>
      </c>
      <c r="G674" s="1">
        <v>4000</v>
      </c>
      <c r="H674">
        <v>0</v>
      </c>
      <c r="I674" s="59" t="s">
        <v>2</v>
      </c>
    </row>
    <row r="675" spans="1:9" x14ac:dyDescent="0.2">
      <c r="A675">
        <v>782</v>
      </c>
      <c r="B675">
        <v>1782000</v>
      </c>
      <c r="C675">
        <v>0</v>
      </c>
      <c r="D675" s="1">
        <v>51103</v>
      </c>
      <c r="E675">
        <v>0</v>
      </c>
      <c r="F675" s="1">
        <v>2769</v>
      </c>
      <c r="G675" s="1">
        <v>7000</v>
      </c>
      <c r="H675">
        <v>0</v>
      </c>
      <c r="I675" s="59" t="s">
        <v>2</v>
      </c>
    </row>
    <row r="676" spans="1:9" x14ac:dyDescent="0.2">
      <c r="A676">
        <v>782</v>
      </c>
      <c r="B676">
        <v>1782100</v>
      </c>
      <c r="C676">
        <v>0</v>
      </c>
      <c r="D676">
        <v>390.6</v>
      </c>
      <c r="E676" s="1">
        <v>2000</v>
      </c>
      <c r="F676">
        <v>0</v>
      </c>
      <c r="G676" s="1">
        <v>2000</v>
      </c>
      <c r="H676">
        <v>0</v>
      </c>
      <c r="I676" s="59" t="s">
        <v>2</v>
      </c>
    </row>
    <row r="677" spans="1:9" x14ac:dyDescent="0.2">
      <c r="A677">
        <v>782</v>
      </c>
      <c r="B677">
        <v>1812200</v>
      </c>
      <c r="C677">
        <v>0</v>
      </c>
      <c r="D677" s="1">
        <v>1244894.21</v>
      </c>
      <c r="E677">
        <v>0</v>
      </c>
      <c r="F677" s="1">
        <v>2751.29</v>
      </c>
      <c r="G677" s="1">
        <v>3000</v>
      </c>
      <c r="H677">
        <v>0</v>
      </c>
      <c r="I677" s="59" t="s">
        <v>2</v>
      </c>
    </row>
    <row r="678" spans="1:9" x14ac:dyDescent="0.2">
      <c r="A678">
        <v>782</v>
      </c>
      <c r="B678">
        <v>1812210</v>
      </c>
      <c r="C678">
        <v>0</v>
      </c>
      <c r="D678" s="1">
        <v>47259.08</v>
      </c>
      <c r="E678">
        <v>0</v>
      </c>
      <c r="F678">
        <v>618.65</v>
      </c>
      <c r="G678" s="1">
        <v>1802000</v>
      </c>
      <c r="H678" s="1">
        <v>1543288.81</v>
      </c>
      <c r="I678" s="59" t="s">
        <v>2</v>
      </c>
    </row>
    <row r="679" spans="1:9" x14ac:dyDescent="0.2">
      <c r="A679">
        <v>782</v>
      </c>
      <c r="B679">
        <v>1812220</v>
      </c>
      <c r="C679">
        <v>0</v>
      </c>
      <c r="D679" s="1">
        <v>55198.7</v>
      </c>
      <c r="E679">
        <v>0</v>
      </c>
      <c r="F679">
        <v>177.8</v>
      </c>
      <c r="G679" s="1">
        <v>76000</v>
      </c>
      <c r="H679" s="1">
        <v>50470</v>
      </c>
      <c r="I679" s="59" t="s">
        <v>2</v>
      </c>
    </row>
    <row r="680" spans="1:9" x14ac:dyDescent="0.2">
      <c r="A680">
        <v>782</v>
      </c>
      <c r="B680">
        <v>1812230</v>
      </c>
      <c r="C680">
        <v>0</v>
      </c>
      <c r="D680" s="1">
        <v>13480</v>
      </c>
      <c r="E680" s="1">
        <v>11157.36</v>
      </c>
      <c r="F680">
        <v>0</v>
      </c>
      <c r="G680" s="1">
        <v>324000</v>
      </c>
      <c r="H680" s="1">
        <v>320938.62</v>
      </c>
      <c r="I680" s="59" t="s">
        <v>2</v>
      </c>
    </row>
    <row r="681" spans="1:9" x14ac:dyDescent="0.2">
      <c r="A681">
        <v>782</v>
      </c>
      <c r="B681">
        <v>1812240</v>
      </c>
      <c r="C681">
        <v>0</v>
      </c>
      <c r="D681" s="1">
        <v>8603.64</v>
      </c>
      <c r="E681" s="1">
        <v>678330.17</v>
      </c>
      <c r="F681">
        <v>0</v>
      </c>
      <c r="G681" s="1">
        <v>1000000</v>
      </c>
      <c r="H681">
        <v>0</v>
      </c>
      <c r="I681" s="59" t="s">
        <v>2</v>
      </c>
    </row>
    <row r="682" spans="1:9" x14ac:dyDescent="0.2">
      <c r="A682">
        <v>782</v>
      </c>
      <c r="B682">
        <v>1812250</v>
      </c>
      <c r="C682">
        <v>0</v>
      </c>
      <c r="D682" s="1">
        <v>18035.34</v>
      </c>
      <c r="E682">
        <v>0</v>
      </c>
      <c r="F682">
        <v>0</v>
      </c>
      <c r="G682" s="1">
        <v>400000</v>
      </c>
      <c r="H682" s="1">
        <v>658992</v>
      </c>
      <c r="I682" s="59" t="s">
        <v>2</v>
      </c>
    </row>
    <row r="683" spans="1:9" x14ac:dyDescent="0.2">
      <c r="A683">
        <v>782</v>
      </c>
      <c r="B683">
        <v>1812260</v>
      </c>
      <c r="C683">
        <v>0</v>
      </c>
      <c r="D683" s="1">
        <v>39279.5</v>
      </c>
      <c r="E683" s="1">
        <v>8169.63</v>
      </c>
      <c r="F683">
        <v>0</v>
      </c>
      <c r="G683" s="1">
        <v>80000</v>
      </c>
      <c r="H683">
        <v>0</v>
      </c>
      <c r="I683" s="59" t="s">
        <v>2</v>
      </c>
    </row>
    <row r="684" spans="1:9" x14ac:dyDescent="0.2">
      <c r="A684">
        <v>782</v>
      </c>
      <c r="B684">
        <v>1812270</v>
      </c>
      <c r="C684">
        <v>0</v>
      </c>
      <c r="D684" s="1">
        <v>8348.92</v>
      </c>
      <c r="E684" s="1">
        <v>220013.5</v>
      </c>
      <c r="F684">
        <v>0</v>
      </c>
      <c r="G684" s="1">
        <v>620000</v>
      </c>
      <c r="H684" s="1">
        <v>1052280.23</v>
      </c>
      <c r="I684" s="59" t="s">
        <v>2</v>
      </c>
    </row>
    <row r="685" spans="1:9" x14ac:dyDescent="0.2">
      <c r="A685">
        <v>782</v>
      </c>
      <c r="B685">
        <v>1812280</v>
      </c>
      <c r="C685">
        <v>0</v>
      </c>
      <c r="D685" s="1">
        <v>13798.5</v>
      </c>
      <c r="E685" s="1">
        <v>13592</v>
      </c>
      <c r="F685">
        <v>0</v>
      </c>
      <c r="G685" s="1">
        <v>55000</v>
      </c>
      <c r="H685" s="1">
        <v>27665</v>
      </c>
      <c r="I685" s="59" t="s">
        <v>2</v>
      </c>
    </row>
    <row r="686" spans="1:9" x14ac:dyDescent="0.2">
      <c r="A686">
        <v>782</v>
      </c>
      <c r="B686">
        <v>1812290</v>
      </c>
      <c r="C686">
        <v>0</v>
      </c>
      <c r="D686" s="1">
        <v>13337.31</v>
      </c>
      <c r="E686">
        <v>0</v>
      </c>
      <c r="F686" s="1">
        <v>59996</v>
      </c>
      <c r="G686">
        <v>0</v>
      </c>
      <c r="H686">
        <v>0</v>
      </c>
      <c r="I686" s="59" t="s">
        <v>2</v>
      </c>
    </row>
    <row r="687" spans="1:9" x14ac:dyDescent="0.2">
      <c r="A687">
        <v>782</v>
      </c>
      <c r="B687">
        <v>1812292</v>
      </c>
      <c r="C687">
        <v>0</v>
      </c>
      <c r="D687" s="1">
        <v>59071.77</v>
      </c>
      <c r="E687" s="1">
        <v>10477</v>
      </c>
      <c r="F687">
        <v>0</v>
      </c>
      <c r="G687" s="1">
        <v>67000</v>
      </c>
      <c r="H687">
        <v>0</v>
      </c>
      <c r="I687" s="59" t="s">
        <v>2</v>
      </c>
    </row>
    <row r="688" spans="1:9" x14ac:dyDescent="0.2">
      <c r="A688">
        <v>782</v>
      </c>
      <c r="B688">
        <v>1812293</v>
      </c>
      <c r="C688">
        <v>0</v>
      </c>
      <c r="D688" s="1">
        <v>8864.89</v>
      </c>
      <c r="E688">
        <v>0</v>
      </c>
      <c r="F688">
        <v>234</v>
      </c>
      <c r="G688">
        <v>0</v>
      </c>
      <c r="H688">
        <v>234</v>
      </c>
      <c r="I688" s="59" t="s">
        <v>2</v>
      </c>
    </row>
    <row r="689" spans="1:9" x14ac:dyDescent="0.2">
      <c r="A689">
        <v>782</v>
      </c>
      <c r="B689">
        <v>1812294</v>
      </c>
      <c r="C689">
        <v>0</v>
      </c>
      <c r="D689" s="1">
        <v>4540.5</v>
      </c>
      <c r="E689">
        <v>864</v>
      </c>
      <c r="F689">
        <v>0</v>
      </c>
      <c r="G689" s="1">
        <v>1000</v>
      </c>
      <c r="H689">
        <v>696</v>
      </c>
      <c r="I689" s="59" t="s">
        <v>2</v>
      </c>
    </row>
    <row r="690" spans="1:9" x14ac:dyDescent="0.2">
      <c r="A690">
        <v>782</v>
      </c>
      <c r="B690">
        <v>1812295</v>
      </c>
      <c r="C690">
        <v>0</v>
      </c>
      <c r="D690" s="1">
        <v>54425</v>
      </c>
      <c r="E690" s="1">
        <v>3402.63</v>
      </c>
      <c r="F690">
        <v>0</v>
      </c>
      <c r="G690" s="1">
        <v>90000</v>
      </c>
      <c r="H690" s="1">
        <v>125127.7</v>
      </c>
      <c r="I690" s="59" t="s">
        <v>2</v>
      </c>
    </row>
    <row r="691" spans="1:9" x14ac:dyDescent="0.2">
      <c r="A691">
        <v>782</v>
      </c>
      <c r="B691">
        <v>1812300</v>
      </c>
      <c r="C691">
        <v>0</v>
      </c>
      <c r="D691" s="1">
        <v>19800</v>
      </c>
      <c r="E691" s="1">
        <v>1900</v>
      </c>
      <c r="F691">
        <v>0</v>
      </c>
      <c r="G691" s="1">
        <v>3000</v>
      </c>
      <c r="H691" s="1">
        <v>3020</v>
      </c>
      <c r="I691" s="59" t="s">
        <v>2</v>
      </c>
    </row>
    <row r="692" spans="1:9" x14ac:dyDescent="0.2">
      <c r="A692">
        <v>782</v>
      </c>
      <c r="B692">
        <v>1812310</v>
      </c>
      <c r="C692">
        <v>0</v>
      </c>
      <c r="D692" s="1">
        <v>31690.81</v>
      </c>
      <c r="E692" s="1">
        <v>4091.95</v>
      </c>
      <c r="F692">
        <v>0</v>
      </c>
      <c r="G692" s="1">
        <v>140000</v>
      </c>
      <c r="H692" s="1">
        <v>470720.9</v>
      </c>
      <c r="I692" s="59" t="s">
        <v>2</v>
      </c>
    </row>
    <row r="693" spans="1:9" x14ac:dyDescent="0.2">
      <c r="A693">
        <v>782</v>
      </c>
      <c r="B693">
        <v>1812320</v>
      </c>
      <c r="C693">
        <v>0</v>
      </c>
      <c r="D693" s="1">
        <v>54597.9</v>
      </c>
      <c r="E693">
        <v>1.8</v>
      </c>
      <c r="F693">
        <v>0</v>
      </c>
      <c r="G693" s="1">
        <v>400000</v>
      </c>
      <c r="H693" s="1">
        <v>304379.28000000003</v>
      </c>
      <c r="I693" s="59" t="s">
        <v>2</v>
      </c>
    </row>
    <row r="694" spans="1:9" x14ac:dyDescent="0.2">
      <c r="A694">
        <v>782</v>
      </c>
      <c r="B694">
        <v>1812330</v>
      </c>
      <c r="C694">
        <v>0</v>
      </c>
      <c r="D694" s="1">
        <v>89008.9</v>
      </c>
      <c r="E694">
        <v>596.55999999999995</v>
      </c>
      <c r="F694">
        <v>0</v>
      </c>
      <c r="G694" s="1">
        <v>3000</v>
      </c>
      <c r="H694">
        <v>803.78</v>
      </c>
      <c r="I694" s="59" t="s">
        <v>2</v>
      </c>
    </row>
    <row r="695" spans="1:9" x14ac:dyDescent="0.2">
      <c r="A695">
        <v>782</v>
      </c>
      <c r="B695">
        <v>1812340</v>
      </c>
      <c r="C695">
        <v>0</v>
      </c>
      <c r="D695" s="1">
        <v>10098</v>
      </c>
      <c r="E695" s="1">
        <v>87975.29</v>
      </c>
      <c r="F695">
        <v>0</v>
      </c>
      <c r="G695" s="1">
        <v>115000</v>
      </c>
      <c r="H695" s="1">
        <v>21600</v>
      </c>
      <c r="I695" s="59" t="s">
        <v>2</v>
      </c>
    </row>
    <row r="696" spans="1:9" x14ac:dyDescent="0.2">
      <c r="A696">
        <v>782</v>
      </c>
      <c r="B696">
        <v>1812400</v>
      </c>
      <c r="C696">
        <v>0</v>
      </c>
      <c r="D696" s="1">
        <v>168966.9</v>
      </c>
      <c r="E696">
        <v>0</v>
      </c>
      <c r="F696">
        <v>0</v>
      </c>
      <c r="G696">
        <v>0</v>
      </c>
      <c r="H696" s="1">
        <v>257167.64</v>
      </c>
      <c r="I696" s="59" t="s">
        <v>2</v>
      </c>
    </row>
    <row r="697" spans="1:9" x14ac:dyDescent="0.2">
      <c r="A697">
        <v>782</v>
      </c>
      <c r="B697">
        <v>1812420</v>
      </c>
      <c r="C697">
        <v>0</v>
      </c>
      <c r="D697" s="1">
        <v>3519</v>
      </c>
      <c r="E697" s="1">
        <v>14000</v>
      </c>
      <c r="F697">
        <v>0</v>
      </c>
      <c r="G697" s="1">
        <v>14000</v>
      </c>
      <c r="H697">
        <v>0</v>
      </c>
      <c r="I697" s="59" t="s">
        <v>2</v>
      </c>
    </row>
    <row r="698" spans="1:9" x14ac:dyDescent="0.2">
      <c r="A698">
        <v>782</v>
      </c>
      <c r="B698">
        <v>1812430</v>
      </c>
      <c r="C698">
        <v>0</v>
      </c>
      <c r="D698" s="1">
        <v>2262</v>
      </c>
      <c r="E698">
        <v>76</v>
      </c>
      <c r="F698">
        <v>0</v>
      </c>
      <c r="G698" s="1">
        <v>10000</v>
      </c>
      <c r="H698">
        <v>0</v>
      </c>
      <c r="I698" s="59" t="s">
        <v>2</v>
      </c>
    </row>
    <row r="699" spans="1:9" x14ac:dyDescent="0.2">
      <c r="A699">
        <v>782</v>
      </c>
      <c r="B699">
        <v>1812440</v>
      </c>
      <c r="C699">
        <v>0</v>
      </c>
      <c r="D699">
        <v>436.04</v>
      </c>
      <c r="E699">
        <v>0</v>
      </c>
      <c r="F699">
        <v>0</v>
      </c>
      <c r="G699" s="1">
        <v>6000</v>
      </c>
      <c r="H699">
        <v>0</v>
      </c>
      <c r="I699" s="59" t="s">
        <v>2</v>
      </c>
    </row>
    <row r="700" spans="1:9" x14ac:dyDescent="0.2">
      <c r="A700">
        <v>782</v>
      </c>
      <c r="B700">
        <v>1812450</v>
      </c>
      <c r="C700">
        <v>0</v>
      </c>
      <c r="D700" s="1">
        <v>3519</v>
      </c>
      <c r="E700">
        <v>699</v>
      </c>
      <c r="F700">
        <v>0</v>
      </c>
      <c r="G700" s="1">
        <v>73000</v>
      </c>
      <c r="H700">
        <v>0</v>
      </c>
      <c r="I700" s="59" t="s">
        <v>2</v>
      </c>
    </row>
    <row r="701" spans="1:9" x14ac:dyDescent="0.2">
      <c r="A701">
        <v>782</v>
      </c>
      <c r="B701">
        <v>1812460</v>
      </c>
      <c r="C701">
        <v>0</v>
      </c>
      <c r="D701" s="1">
        <v>1500</v>
      </c>
      <c r="E701" s="1">
        <v>1544</v>
      </c>
      <c r="F701">
        <v>0</v>
      </c>
      <c r="G701" s="1">
        <v>66000</v>
      </c>
      <c r="H701">
        <v>0</v>
      </c>
      <c r="I701" s="59" t="s">
        <v>2</v>
      </c>
    </row>
    <row r="702" spans="1:9" x14ac:dyDescent="0.2">
      <c r="A702">
        <v>782</v>
      </c>
      <c r="B702">
        <v>1812470</v>
      </c>
      <c r="C702">
        <v>0</v>
      </c>
      <c r="D702">
        <v>653.84</v>
      </c>
      <c r="E702" s="1">
        <v>5061.5</v>
      </c>
      <c r="F702">
        <v>0</v>
      </c>
      <c r="G702" s="1">
        <v>63000</v>
      </c>
      <c r="H702">
        <v>0</v>
      </c>
      <c r="I702" s="59" t="s">
        <v>2</v>
      </c>
    </row>
    <row r="703" spans="1:9" x14ac:dyDescent="0.2">
      <c r="A703">
        <v>782</v>
      </c>
      <c r="B703">
        <v>1812490</v>
      </c>
      <c r="C703">
        <v>0</v>
      </c>
      <c r="D703">
        <v>394.4</v>
      </c>
      <c r="E703">
        <v>0</v>
      </c>
      <c r="F703">
        <v>20</v>
      </c>
      <c r="G703" s="1">
        <v>54000</v>
      </c>
      <c r="H703">
        <v>0</v>
      </c>
      <c r="I703" s="59" t="s">
        <v>2</v>
      </c>
    </row>
    <row r="704" spans="1:9" x14ac:dyDescent="0.2">
      <c r="A704">
        <v>782</v>
      </c>
      <c r="B704">
        <v>1812491</v>
      </c>
      <c r="C704">
        <v>0</v>
      </c>
      <c r="D704">
        <v>434</v>
      </c>
      <c r="E704" s="1">
        <v>5544</v>
      </c>
      <c r="F704">
        <v>0</v>
      </c>
      <c r="G704" s="1">
        <v>51000</v>
      </c>
      <c r="H704">
        <v>0</v>
      </c>
      <c r="I704" s="59" t="s">
        <v>2</v>
      </c>
    </row>
    <row r="705" spans="1:9" x14ac:dyDescent="0.2">
      <c r="A705">
        <v>782</v>
      </c>
      <c r="B705">
        <v>1813200</v>
      </c>
      <c r="C705">
        <v>0</v>
      </c>
      <c r="D705" s="1">
        <v>4300</v>
      </c>
      <c r="E705" s="1">
        <v>9500.1200000000008</v>
      </c>
      <c r="F705">
        <v>0</v>
      </c>
      <c r="G705" s="1">
        <v>19000</v>
      </c>
      <c r="H705">
        <v>0</v>
      </c>
      <c r="I705" s="59" t="s">
        <v>2</v>
      </c>
    </row>
    <row r="706" spans="1:9" x14ac:dyDescent="0.2">
      <c r="A706">
        <v>782</v>
      </c>
      <c r="B706">
        <v>1813210</v>
      </c>
      <c r="C706">
        <v>0</v>
      </c>
      <c r="D706" s="1">
        <v>4288.34</v>
      </c>
      <c r="E706">
        <v>310</v>
      </c>
      <c r="F706">
        <v>0</v>
      </c>
      <c r="G706" s="1">
        <v>38000</v>
      </c>
      <c r="H706">
        <v>0</v>
      </c>
      <c r="I706" s="59" t="s">
        <v>2</v>
      </c>
    </row>
    <row r="707" spans="1:9" x14ac:dyDescent="0.2">
      <c r="A707">
        <v>782</v>
      </c>
      <c r="B707">
        <v>1813310</v>
      </c>
      <c r="C707">
        <v>0</v>
      </c>
      <c r="D707" s="1">
        <v>1631372.2</v>
      </c>
      <c r="E707" s="1">
        <v>57197.61</v>
      </c>
      <c r="F707">
        <v>0</v>
      </c>
      <c r="G707" s="1">
        <v>1174000</v>
      </c>
      <c r="H707" s="1">
        <v>1315656.94</v>
      </c>
      <c r="I707" s="59" t="s">
        <v>2</v>
      </c>
    </row>
    <row r="708" spans="1:9" x14ac:dyDescent="0.2">
      <c r="A708">
        <v>782</v>
      </c>
      <c r="B708">
        <v>1813320</v>
      </c>
      <c r="C708">
        <v>0</v>
      </c>
      <c r="D708" s="1">
        <v>63491.199999999997</v>
      </c>
      <c r="E708">
        <v>0</v>
      </c>
      <c r="F708" s="1">
        <v>13420</v>
      </c>
      <c r="G708">
        <v>0</v>
      </c>
      <c r="H708" s="1">
        <v>14192</v>
      </c>
      <c r="I708" s="59" t="s">
        <v>2</v>
      </c>
    </row>
    <row r="709" spans="1:9" x14ac:dyDescent="0.2">
      <c r="A709">
        <v>782</v>
      </c>
      <c r="B709">
        <v>1813710</v>
      </c>
      <c r="C709">
        <v>0</v>
      </c>
      <c r="D709" s="1">
        <v>5489.29</v>
      </c>
      <c r="E709">
        <v>0</v>
      </c>
      <c r="F709">
        <v>178</v>
      </c>
      <c r="G709" s="1">
        <v>180000</v>
      </c>
      <c r="H709" s="1">
        <v>105291</v>
      </c>
      <c r="I709" s="59" t="s">
        <v>2</v>
      </c>
    </row>
    <row r="710" spans="1:9" x14ac:dyDescent="0.2">
      <c r="A710">
        <v>782</v>
      </c>
      <c r="B710">
        <v>1815500</v>
      </c>
      <c r="C710">
        <v>0</v>
      </c>
      <c r="D710" s="1">
        <v>4990.24</v>
      </c>
      <c r="E710">
        <v>0</v>
      </c>
      <c r="F710">
        <v>0</v>
      </c>
      <c r="G710" s="1">
        <v>40000</v>
      </c>
      <c r="H710">
        <v>0</v>
      </c>
      <c r="I710" s="59" t="s">
        <v>2</v>
      </c>
    </row>
    <row r="711" spans="1:9" x14ac:dyDescent="0.2">
      <c r="A711">
        <v>782</v>
      </c>
      <c r="B711">
        <v>1815510</v>
      </c>
      <c r="C711">
        <v>0</v>
      </c>
      <c r="D711" s="1">
        <v>8905.4599999999991</v>
      </c>
      <c r="E711">
        <v>0</v>
      </c>
      <c r="F711" s="1">
        <v>72059</v>
      </c>
      <c r="G711" s="1">
        <v>275000</v>
      </c>
      <c r="H711" s="1">
        <v>205652</v>
      </c>
      <c r="I711" s="59" t="s">
        <v>2</v>
      </c>
    </row>
    <row r="712" spans="1:9" x14ac:dyDescent="0.2">
      <c r="A712">
        <v>782</v>
      </c>
      <c r="B712">
        <v>1817200</v>
      </c>
      <c r="C712">
        <v>0</v>
      </c>
      <c r="D712">
        <v>195</v>
      </c>
      <c r="E712">
        <v>0</v>
      </c>
      <c r="F712">
        <v>0</v>
      </c>
      <c r="G712">
        <v>0</v>
      </c>
      <c r="H712" s="1">
        <v>8824</v>
      </c>
      <c r="I712" s="59" t="s">
        <v>2</v>
      </c>
    </row>
    <row r="713" spans="1:9" x14ac:dyDescent="0.2">
      <c r="A713">
        <v>782</v>
      </c>
      <c r="B713">
        <v>1817210</v>
      </c>
      <c r="C713">
        <v>0</v>
      </c>
      <c r="D713">
        <v>708.08</v>
      </c>
      <c r="E713" s="1">
        <v>479965.51</v>
      </c>
      <c r="F713">
        <v>0</v>
      </c>
      <c r="G713" s="1">
        <v>13004000</v>
      </c>
      <c r="H713" s="1">
        <v>11979811.6</v>
      </c>
      <c r="I713" s="59" t="s">
        <v>2</v>
      </c>
    </row>
    <row r="714" spans="1:9" x14ac:dyDescent="0.2">
      <c r="A714">
        <v>782</v>
      </c>
      <c r="B714">
        <v>1817300</v>
      </c>
      <c r="C714">
        <v>0</v>
      </c>
      <c r="D714" s="1">
        <v>46203.8</v>
      </c>
      <c r="E714">
        <v>0</v>
      </c>
      <c r="F714" s="1">
        <v>28733.32</v>
      </c>
      <c r="G714">
        <v>0</v>
      </c>
      <c r="H714" s="1">
        <v>77172.31</v>
      </c>
      <c r="I714" s="59" t="s">
        <v>2</v>
      </c>
    </row>
    <row r="715" spans="1:9" x14ac:dyDescent="0.2">
      <c r="A715">
        <v>782</v>
      </c>
      <c r="B715">
        <v>1817310</v>
      </c>
      <c r="C715">
        <v>0</v>
      </c>
      <c r="D715" s="1">
        <v>3844</v>
      </c>
      <c r="E715" s="1">
        <v>12619.02</v>
      </c>
      <c r="F715">
        <v>0</v>
      </c>
      <c r="G715" s="1">
        <v>19000</v>
      </c>
      <c r="H715" s="1">
        <v>19283.39</v>
      </c>
      <c r="I715" s="59" t="s">
        <v>2</v>
      </c>
    </row>
    <row r="716" spans="1:9" x14ac:dyDescent="0.2">
      <c r="A716">
        <v>782</v>
      </c>
      <c r="B716">
        <v>1817311</v>
      </c>
      <c r="C716">
        <v>0</v>
      </c>
      <c r="D716" s="1">
        <v>2439.4</v>
      </c>
      <c r="E716">
        <v>0</v>
      </c>
      <c r="F716">
        <v>46.17</v>
      </c>
      <c r="G716" s="1">
        <v>26000</v>
      </c>
      <c r="H716" s="1">
        <v>18233.939999999999</v>
      </c>
      <c r="I716" s="59" t="s">
        <v>2</v>
      </c>
    </row>
    <row r="717" spans="1:9" x14ac:dyDescent="0.2">
      <c r="A717">
        <v>782</v>
      </c>
      <c r="B717">
        <v>1817320</v>
      </c>
      <c r="C717">
        <v>0</v>
      </c>
      <c r="D717">
        <v>704</v>
      </c>
      <c r="E717" s="1">
        <v>1000</v>
      </c>
      <c r="F717">
        <v>0</v>
      </c>
      <c r="G717" s="1">
        <v>1000</v>
      </c>
      <c r="H717" s="1">
        <v>1600</v>
      </c>
      <c r="I717" s="59" t="s">
        <v>2</v>
      </c>
    </row>
    <row r="718" spans="1:9" x14ac:dyDescent="0.2">
      <c r="A718">
        <v>782</v>
      </c>
      <c r="B718">
        <v>1823000</v>
      </c>
      <c r="C718">
        <v>0</v>
      </c>
      <c r="D718" s="1">
        <v>12803.91</v>
      </c>
      <c r="E718" s="1">
        <v>4601.9799999999996</v>
      </c>
      <c r="F718">
        <v>0</v>
      </c>
      <c r="G718" s="1">
        <v>5000</v>
      </c>
      <c r="H718" s="1">
        <v>6301.5</v>
      </c>
      <c r="I718" s="59" t="s">
        <v>2</v>
      </c>
    </row>
    <row r="719" spans="1:9" x14ac:dyDescent="0.2">
      <c r="A719">
        <v>782</v>
      </c>
      <c r="B719">
        <v>1841000</v>
      </c>
      <c r="C719">
        <v>0</v>
      </c>
      <c r="D719" s="1">
        <v>25306.9</v>
      </c>
      <c r="E719" s="1">
        <v>3964</v>
      </c>
      <c r="F719">
        <v>0</v>
      </c>
      <c r="G719" s="1">
        <v>5000</v>
      </c>
      <c r="H719" s="1">
        <v>5142</v>
      </c>
      <c r="I719" s="59" t="s">
        <v>2</v>
      </c>
    </row>
    <row r="720" spans="1:9" x14ac:dyDescent="0.2">
      <c r="A720">
        <v>782</v>
      </c>
      <c r="B720">
        <v>1841100</v>
      </c>
      <c r="C720">
        <v>0</v>
      </c>
      <c r="D720" s="1">
        <v>3553</v>
      </c>
      <c r="E720">
        <v>0</v>
      </c>
      <c r="F720">
        <v>0</v>
      </c>
      <c r="G720">
        <v>0</v>
      </c>
      <c r="H720" s="1">
        <v>15522.28</v>
      </c>
      <c r="I720" s="59" t="s">
        <v>2</v>
      </c>
    </row>
    <row r="721" spans="1:9" x14ac:dyDescent="0.2">
      <c r="A721">
        <v>782</v>
      </c>
      <c r="B721">
        <v>1841120</v>
      </c>
      <c r="C721">
        <v>0</v>
      </c>
      <c r="D721" s="1">
        <v>4347.1000000000004</v>
      </c>
      <c r="E721" s="1">
        <v>2693.1</v>
      </c>
      <c r="F721">
        <v>0</v>
      </c>
      <c r="G721" s="1">
        <v>28000</v>
      </c>
      <c r="H721" s="1">
        <v>39778.6</v>
      </c>
      <c r="I721" s="59" t="s">
        <v>2</v>
      </c>
    </row>
    <row r="722" spans="1:9" x14ac:dyDescent="0.2">
      <c r="A722">
        <v>782</v>
      </c>
      <c r="B722">
        <v>1841241</v>
      </c>
      <c r="C722">
        <v>0</v>
      </c>
      <c r="D722">
        <v>800</v>
      </c>
      <c r="E722" s="1">
        <v>16000</v>
      </c>
      <c r="F722">
        <v>0</v>
      </c>
      <c r="G722" s="1">
        <v>106000</v>
      </c>
      <c r="H722">
        <v>0</v>
      </c>
      <c r="I722" s="59" t="s">
        <v>2</v>
      </c>
    </row>
    <row r="723" spans="1:9" x14ac:dyDescent="0.2">
      <c r="A723">
        <v>782</v>
      </c>
      <c r="B723">
        <v>1937000</v>
      </c>
      <c r="C723">
        <v>0</v>
      </c>
      <c r="D723" s="1">
        <v>40000</v>
      </c>
      <c r="E723">
        <v>447</v>
      </c>
      <c r="F723">
        <v>0</v>
      </c>
      <c r="G723" s="1">
        <v>4000</v>
      </c>
      <c r="H723">
        <v>0</v>
      </c>
      <c r="I723" s="59" t="s">
        <v>2</v>
      </c>
    </row>
    <row r="724" spans="1:9" x14ac:dyDescent="0.2">
      <c r="A724">
        <v>782</v>
      </c>
      <c r="B724">
        <v>1939000</v>
      </c>
      <c r="C724">
        <v>0</v>
      </c>
      <c r="D724">
        <v>123.2</v>
      </c>
      <c r="E724" s="1">
        <v>6185</v>
      </c>
      <c r="F724">
        <v>0</v>
      </c>
      <c r="G724" s="1">
        <v>16000</v>
      </c>
      <c r="H724" s="1">
        <v>9738</v>
      </c>
      <c r="I724" s="59">
        <f>SUM(D637:D723)/1000</f>
        <v>14867.798600000004</v>
      </c>
    </row>
    <row r="725" spans="1:9" x14ac:dyDescent="0.2">
      <c r="A725">
        <v>800</v>
      </c>
      <c r="B725">
        <v>1611000</v>
      </c>
      <c r="C725">
        <v>0</v>
      </c>
      <c r="D725" s="1">
        <v>17773.95</v>
      </c>
      <c r="E725" s="1">
        <v>1652.9</v>
      </c>
      <c r="F725">
        <v>0</v>
      </c>
      <c r="G725" s="1">
        <v>6000</v>
      </c>
      <c r="H725">
        <v>0</v>
      </c>
      <c r="I725" s="59">
        <f>D725/1000</f>
        <v>17.773949999999999</v>
      </c>
    </row>
    <row r="726" spans="1:9" x14ac:dyDescent="0.2">
      <c r="A726">
        <v>810</v>
      </c>
      <c r="B726">
        <v>1611000</v>
      </c>
      <c r="C726">
        <v>0</v>
      </c>
      <c r="D726" s="1">
        <v>118425</v>
      </c>
      <c r="E726" s="1">
        <v>1200</v>
      </c>
      <c r="F726">
        <v>0</v>
      </c>
      <c r="G726" s="1">
        <v>2000</v>
      </c>
      <c r="H726">
        <v>0</v>
      </c>
      <c r="I726" s="59" t="s">
        <v>2</v>
      </c>
    </row>
    <row r="727" spans="1:9" x14ac:dyDescent="0.2">
      <c r="A727">
        <v>810</v>
      </c>
      <c r="B727">
        <v>1613000</v>
      </c>
      <c r="C727">
        <v>0</v>
      </c>
      <c r="D727" s="1">
        <v>61450</v>
      </c>
      <c r="E727" s="1">
        <v>2000</v>
      </c>
      <c r="F727">
        <v>0</v>
      </c>
      <c r="G727" s="1">
        <v>4000</v>
      </c>
      <c r="H727" s="1">
        <v>3487</v>
      </c>
      <c r="I727" s="59" t="s">
        <v>2</v>
      </c>
    </row>
    <row r="728" spans="1:9" x14ac:dyDescent="0.2">
      <c r="A728">
        <v>810</v>
      </c>
      <c r="B728">
        <v>1724000</v>
      </c>
      <c r="C728">
        <v>0</v>
      </c>
      <c r="D728" s="1">
        <v>27622.69</v>
      </c>
      <c r="E728">
        <v>0</v>
      </c>
      <c r="F728" s="1">
        <v>365396</v>
      </c>
      <c r="G728" s="1">
        <v>100000</v>
      </c>
      <c r="H728" s="1">
        <v>22592</v>
      </c>
      <c r="I728" s="59" t="s">
        <v>2</v>
      </c>
    </row>
    <row r="729" spans="1:9" x14ac:dyDescent="0.2">
      <c r="A729">
        <v>810</v>
      </c>
      <c r="B729">
        <v>1766000</v>
      </c>
      <c r="C729">
        <v>0</v>
      </c>
      <c r="D729" s="1">
        <v>219920</v>
      </c>
      <c r="E729">
        <v>0</v>
      </c>
      <c r="F729" s="1">
        <v>34241</v>
      </c>
      <c r="G729" s="1">
        <v>86000</v>
      </c>
      <c r="H729" s="1">
        <v>118412</v>
      </c>
      <c r="I729" s="59" t="s">
        <v>2</v>
      </c>
    </row>
    <row r="730" spans="1:9" x14ac:dyDescent="0.2">
      <c r="A730">
        <v>810</v>
      </c>
      <c r="B730">
        <v>1766100</v>
      </c>
      <c r="C730">
        <v>0</v>
      </c>
      <c r="D730">
        <v>549</v>
      </c>
      <c r="E730" s="1">
        <v>35000</v>
      </c>
      <c r="F730">
        <v>0</v>
      </c>
      <c r="G730" s="1">
        <v>35000</v>
      </c>
      <c r="H730" s="1">
        <v>70568</v>
      </c>
      <c r="I730" s="59" t="s">
        <v>2</v>
      </c>
    </row>
    <row r="731" spans="1:9" x14ac:dyDescent="0.2">
      <c r="A731">
        <v>810</v>
      </c>
      <c r="B731">
        <v>1812310</v>
      </c>
      <c r="C731">
        <v>0</v>
      </c>
      <c r="D731" s="1">
        <v>5382778.2699999996</v>
      </c>
      <c r="E731">
        <v>0</v>
      </c>
      <c r="F731" s="1">
        <v>26570</v>
      </c>
      <c r="G731" s="1">
        <v>59000</v>
      </c>
      <c r="H731" s="1">
        <v>59430</v>
      </c>
      <c r="I731" s="59" t="s">
        <v>2</v>
      </c>
    </row>
    <row r="732" spans="1:9" x14ac:dyDescent="0.2">
      <c r="A732">
        <v>810</v>
      </c>
      <c r="B732">
        <v>1812311</v>
      </c>
      <c r="C732">
        <v>0</v>
      </c>
      <c r="D732" s="1">
        <v>7136151.4800000004</v>
      </c>
      <c r="E732" s="1">
        <v>4310</v>
      </c>
      <c r="F732">
        <v>0</v>
      </c>
      <c r="G732" s="1">
        <v>15000</v>
      </c>
      <c r="H732" s="1">
        <v>22407.15</v>
      </c>
      <c r="I732" s="59" t="s">
        <v>2</v>
      </c>
    </row>
    <row r="733" spans="1:9" x14ac:dyDescent="0.2">
      <c r="A733">
        <v>810</v>
      </c>
      <c r="B733">
        <v>1812400</v>
      </c>
      <c r="C733">
        <v>0</v>
      </c>
      <c r="D733" s="1">
        <v>13950</v>
      </c>
      <c r="E733" s="1">
        <v>2673.89</v>
      </c>
      <c r="F733">
        <v>0</v>
      </c>
      <c r="G733" s="1">
        <v>14000</v>
      </c>
      <c r="H733">
        <v>0</v>
      </c>
      <c r="I733" s="59" t="s">
        <v>2</v>
      </c>
    </row>
    <row r="734" spans="1:9" x14ac:dyDescent="0.2">
      <c r="A734">
        <v>810</v>
      </c>
      <c r="B734">
        <v>1815500</v>
      </c>
      <c r="C734">
        <v>0</v>
      </c>
      <c r="D734" s="1">
        <v>90844</v>
      </c>
      <c r="E734">
        <v>0</v>
      </c>
      <c r="F734" s="1">
        <v>37201</v>
      </c>
      <c r="G734">
        <v>0</v>
      </c>
      <c r="H734" s="1">
        <v>-3300</v>
      </c>
      <c r="I734" s="59" t="s">
        <v>2</v>
      </c>
    </row>
    <row r="735" spans="1:9" x14ac:dyDescent="0.2">
      <c r="A735">
        <v>810</v>
      </c>
      <c r="B735">
        <v>1815520</v>
      </c>
      <c r="C735">
        <v>0</v>
      </c>
      <c r="D735" s="1">
        <v>47259</v>
      </c>
      <c r="E735" s="1">
        <v>24726</v>
      </c>
      <c r="F735">
        <v>0</v>
      </c>
      <c r="G735" s="1">
        <v>80000</v>
      </c>
      <c r="H735" s="1">
        <v>36879</v>
      </c>
      <c r="I735" s="59" t="s">
        <v>2</v>
      </c>
    </row>
    <row r="736" spans="1:9" x14ac:dyDescent="0.2">
      <c r="A736">
        <v>810</v>
      </c>
      <c r="B736">
        <v>1815530</v>
      </c>
      <c r="C736">
        <v>0</v>
      </c>
      <c r="D736" s="1">
        <v>118658.26</v>
      </c>
      <c r="E736" s="1">
        <v>8411</v>
      </c>
      <c r="F736">
        <v>0</v>
      </c>
      <c r="G736" s="1">
        <v>80000</v>
      </c>
      <c r="H736" s="1">
        <v>79554</v>
      </c>
      <c r="I736" s="59" t="s">
        <v>2</v>
      </c>
    </row>
    <row r="737" spans="1:9" x14ac:dyDescent="0.2">
      <c r="A737">
        <v>810</v>
      </c>
      <c r="B737">
        <v>1816800</v>
      </c>
      <c r="C737">
        <v>0</v>
      </c>
      <c r="D737" s="1">
        <v>100000</v>
      </c>
      <c r="E737" s="1">
        <v>14789</v>
      </c>
      <c r="F737">
        <v>0</v>
      </c>
      <c r="G737" s="1">
        <v>20000</v>
      </c>
      <c r="H737">
        <v>0</v>
      </c>
      <c r="I737" s="59" t="s">
        <v>2</v>
      </c>
    </row>
    <row r="738" spans="1:9" x14ac:dyDescent="0.2">
      <c r="A738">
        <v>810</v>
      </c>
      <c r="B738">
        <v>1824000</v>
      </c>
      <c r="C738">
        <v>0</v>
      </c>
      <c r="D738" s="1">
        <v>1601989</v>
      </c>
      <c r="E738">
        <v>0</v>
      </c>
      <c r="F738" s="1">
        <v>21565.38</v>
      </c>
      <c r="G738" s="1">
        <v>88000</v>
      </c>
      <c r="H738" s="1">
        <v>88217</v>
      </c>
      <c r="I738" s="59" t="s">
        <v>2</v>
      </c>
    </row>
    <row r="739" spans="1:9" x14ac:dyDescent="0.2">
      <c r="A739">
        <v>810</v>
      </c>
      <c r="B739">
        <v>1824100</v>
      </c>
      <c r="C739">
        <v>0</v>
      </c>
      <c r="D739" s="1">
        <v>183042.19</v>
      </c>
      <c r="E739">
        <v>0</v>
      </c>
      <c r="F739">
        <v>0</v>
      </c>
      <c r="G739">
        <v>0</v>
      </c>
      <c r="H739" s="1">
        <v>27360</v>
      </c>
      <c r="I739" s="59" t="s">
        <v>2</v>
      </c>
    </row>
    <row r="740" spans="1:9" x14ac:dyDescent="0.2">
      <c r="A740">
        <v>810</v>
      </c>
      <c r="B740">
        <v>1824300</v>
      </c>
      <c r="C740">
        <v>0</v>
      </c>
      <c r="D740" s="1">
        <v>130000</v>
      </c>
      <c r="E740">
        <v>0</v>
      </c>
      <c r="F740" s="1">
        <v>73186</v>
      </c>
      <c r="G740" s="1">
        <v>200000</v>
      </c>
      <c r="H740" s="1">
        <v>199733</v>
      </c>
      <c r="I740" s="59" t="s">
        <v>2</v>
      </c>
    </row>
    <row r="741" spans="1:9" x14ac:dyDescent="0.2">
      <c r="A741">
        <v>810</v>
      </c>
      <c r="B741">
        <v>1826100</v>
      </c>
      <c r="C741">
        <v>0</v>
      </c>
      <c r="D741" s="1">
        <v>1802618.65</v>
      </c>
      <c r="E741" s="1">
        <v>3561</v>
      </c>
      <c r="F741">
        <v>0</v>
      </c>
      <c r="G741" s="1">
        <v>8000</v>
      </c>
      <c r="H741" s="1">
        <v>5236</v>
      </c>
      <c r="I741" s="59" t="s">
        <v>2</v>
      </c>
    </row>
    <row r="742" spans="1:9" x14ac:dyDescent="0.2">
      <c r="A742">
        <v>810</v>
      </c>
      <c r="B742">
        <v>1826110</v>
      </c>
      <c r="C742">
        <v>0</v>
      </c>
      <c r="D742" s="1">
        <v>312842.64</v>
      </c>
      <c r="E742">
        <v>0</v>
      </c>
      <c r="F742" s="1">
        <v>141208</v>
      </c>
      <c r="G742" s="1">
        <v>401000</v>
      </c>
      <c r="H742" s="1">
        <v>400657.61</v>
      </c>
      <c r="I742" s="59" t="s">
        <v>2</v>
      </c>
    </row>
    <row r="743" spans="1:9" x14ac:dyDescent="0.2">
      <c r="A743">
        <v>810</v>
      </c>
      <c r="B743">
        <v>1827000</v>
      </c>
      <c r="C743">
        <v>0</v>
      </c>
      <c r="D743" s="1">
        <v>41408</v>
      </c>
      <c r="E743">
        <v>842</v>
      </c>
      <c r="F743">
        <v>0</v>
      </c>
      <c r="G743" s="1">
        <v>4000</v>
      </c>
      <c r="H743">
        <v>0</v>
      </c>
      <c r="I743" s="59" t="s">
        <v>2</v>
      </c>
    </row>
    <row r="744" spans="1:9" x14ac:dyDescent="0.2">
      <c r="A744">
        <v>810</v>
      </c>
      <c r="B744">
        <v>1828000</v>
      </c>
      <c r="C744">
        <v>0</v>
      </c>
      <c r="D744" s="1">
        <v>1100</v>
      </c>
      <c r="E744">
        <v>755.3</v>
      </c>
      <c r="F744">
        <v>0</v>
      </c>
      <c r="G744" s="1">
        <v>188000</v>
      </c>
      <c r="H744" s="1">
        <v>187584</v>
      </c>
      <c r="I744" s="59" t="s">
        <v>2</v>
      </c>
    </row>
    <row r="745" spans="1:9" x14ac:dyDescent="0.2">
      <c r="A745">
        <v>810</v>
      </c>
      <c r="B745">
        <v>1828910</v>
      </c>
      <c r="C745">
        <v>0</v>
      </c>
      <c r="D745" s="1">
        <v>19302</v>
      </c>
      <c r="E745">
        <v>0</v>
      </c>
      <c r="F745" s="1">
        <v>118490</v>
      </c>
      <c r="G745" s="1">
        <v>3334000</v>
      </c>
      <c r="H745" s="1">
        <v>4463649</v>
      </c>
      <c r="I745" s="59" t="s">
        <v>2</v>
      </c>
    </row>
    <row r="746" spans="1:9" x14ac:dyDescent="0.2">
      <c r="A746">
        <v>810</v>
      </c>
      <c r="B746">
        <v>1828912</v>
      </c>
      <c r="C746">
        <v>0</v>
      </c>
      <c r="D746" s="1">
        <v>9924</v>
      </c>
      <c r="E746" s="1">
        <v>30784</v>
      </c>
      <c r="F746">
        <v>0</v>
      </c>
      <c r="G746" s="1">
        <v>899000</v>
      </c>
      <c r="H746" s="1">
        <v>1013866</v>
      </c>
      <c r="I746" s="59" t="s">
        <v>2</v>
      </c>
    </row>
    <row r="747" spans="1:9" x14ac:dyDescent="0.2">
      <c r="A747">
        <v>810</v>
      </c>
      <c r="B747">
        <v>1828913</v>
      </c>
      <c r="C747">
        <v>0</v>
      </c>
      <c r="D747" s="1">
        <v>6000</v>
      </c>
      <c r="E747">
        <v>0</v>
      </c>
      <c r="F747" s="1">
        <v>46698</v>
      </c>
      <c r="G747" s="1">
        <v>4624000</v>
      </c>
      <c r="H747" s="1">
        <v>4624153</v>
      </c>
      <c r="I747" s="59" t="s">
        <v>2</v>
      </c>
    </row>
    <row r="748" spans="1:9" x14ac:dyDescent="0.2">
      <c r="A748">
        <v>810</v>
      </c>
      <c r="B748">
        <v>1828920</v>
      </c>
      <c r="C748">
        <v>0</v>
      </c>
      <c r="D748" s="1">
        <v>72301</v>
      </c>
      <c r="E748" s="1">
        <v>4987.5</v>
      </c>
      <c r="F748">
        <v>0</v>
      </c>
      <c r="G748" s="1">
        <v>10000</v>
      </c>
      <c r="H748">
        <v>0</v>
      </c>
      <c r="I748" s="59" t="s">
        <v>2</v>
      </c>
    </row>
    <row r="749" spans="1:9" x14ac:dyDescent="0.2">
      <c r="A749">
        <v>810</v>
      </c>
      <c r="B749">
        <v>1828930</v>
      </c>
      <c r="C749">
        <v>0</v>
      </c>
      <c r="D749" s="1">
        <v>64456</v>
      </c>
      <c r="E749" s="1">
        <v>6003</v>
      </c>
      <c r="F749">
        <v>0</v>
      </c>
      <c r="G749" s="1">
        <v>20000</v>
      </c>
      <c r="H749" s="1">
        <v>118275.9</v>
      </c>
      <c r="I749" s="59" t="s">
        <v>2</v>
      </c>
    </row>
    <row r="750" spans="1:9" x14ac:dyDescent="0.2">
      <c r="A750">
        <v>810</v>
      </c>
      <c r="B750">
        <v>1828940</v>
      </c>
      <c r="C750">
        <v>0</v>
      </c>
      <c r="D750" s="1">
        <v>57938.5</v>
      </c>
      <c r="E750">
        <v>0</v>
      </c>
      <c r="F750" s="1">
        <v>9884.0499999999993</v>
      </c>
      <c r="G750">
        <v>0</v>
      </c>
      <c r="H750">
        <v>0</v>
      </c>
      <c r="I750" s="59" t="s">
        <v>2</v>
      </c>
    </row>
    <row r="751" spans="1:9" x14ac:dyDescent="0.2">
      <c r="A751">
        <v>810</v>
      </c>
      <c r="B751">
        <v>1828950</v>
      </c>
      <c r="C751">
        <v>0</v>
      </c>
      <c r="D751" s="1">
        <v>54020</v>
      </c>
      <c r="E751" s="1">
        <v>20065</v>
      </c>
      <c r="F751">
        <v>0</v>
      </c>
      <c r="G751" s="1">
        <v>172000</v>
      </c>
      <c r="H751" s="1">
        <v>228500</v>
      </c>
      <c r="I751" s="59" t="s">
        <v>2</v>
      </c>
    </row>
    <row r="752" spans="1:9" x14ac:dyDescent="0.2">
      <c r="A752">
        <v>810</v>
      </c>
      <c r="B752">
        <v>1828960</v>
      </c>
      <c r="C752">
        <v>0</v>
      </c>
      <c r="D752" s="1">
        <v>45456</v>
      </c>
      <c r="E752">
        <v>0</v>
      </c>
      <c r="F752" s="1">
        <v>5697</v>
      </c>
      <c r="G752" s="1">
        <v>76000</v>
      </c>
      <c r="H752" s="1">
        <v>75927</v>
      </c>
      <c r="I752" s="59" t="s">
        <v>2</v>
      </c>
    </row>
    <row r="753" spans="1:9" x14ac:dyDescent="0.2">
      <c r="A753">
        <v>810</v>
      </c>
      <c r="B753">
        <v>1828970</v>
      </c>
      <c r="C753">
        <v>0</v>
      </c>
      <c r="D753" s="1">
        <v>9499.8799999999992</v>
      </c>
      <c r="E753">
        <v>0</v>
      </c>
      <c r="F753" s="1">
        <v>319346</v>
      </c>
      <c r="G753" s="1">
        <v>404000</v>
      </c>
      <c r="H753" s="1">
        <v>793388</v>
      </c>
      <c r="I753" s="59" t="s">
        <v>2</v>
      </c>
    </row>
    <row r="754" spans="1:9" x14ac:dyDescent="0.2">
      <c r="A754">
        <v>810</v>
      </c>
      <c r="B754">
        <v>1828980</v>
      </c>
      <c r="C754">
        <v>0</v>
      </c>
      <c r="D754" s="1">
        <v>37690</v>
      </c>
      <c r="E754" s="1">
        <v>65730.8</v>
      </c>
      <c r="F754">
        <v>0</v>
      </c>
      <c r="G754" s="1">
        <v>132000</v>
      </c>
      <c r="H754" s="1">
        <v>138918.46</v>
      </c>
      <c r="I754" s="59" t="s">
        <v>2</v>
      </c>
    </row>
    <row r="755" spans="1:9" x14ac:dyDescent="0.2">
      <c r="A755">
        <v>810</v>
      </c>
      <c r="B755">
        <v>1828990</v>
      </c>
      <c r="C755">
        <v>0</v>
      </c>
      <c r="D755" s="1">
        <v>13275</v>
      </c>
      <c r="E755" s="1">
        <v>1196</v>
      </c>
      <c r="F755">
        <v>0</v>
      </c>
      <c r="G755" s="1">
        <v>20000</v>
      </c>
      <c r="H755" s="1">
        <v>93226</v>
      </c>
      <c r="I755" s="59" t="s">
        <v>2</v>
      </c>
    </row>
    <row r="756" spans="1:9" x14ac:dyDescent="0.2">
      <c r="A756">
        <v>810</v>
      </c>
      <c r="B756">
        <v>1829900</v>
      </c>
      <c r="C756">
        <v>0</v>
      </c>
      <c r="D756" s="1">
        <v>905654</v>
      </c>
      <c r="E756" s="1">
        <v>61404</v>
      </c>
      <c r="F756">
        <v>0</v>
      </c>
      <c r="G756" s="1">
        <v>62000</v>
      </c>
      <c r="H756" s="1">
        <v>62070</v>
      </c>
      <c r="I756" s="59" t="s">
        <v>2</v>
      </c>
    </row>
    <row r="757" spans="1:9" x14ac:dyDescent="0.2">
      <c r="A757">
        <v>810</v>
      </c>
      <c r="B757">
        <v>1829910</v>
      </c>
      <c r="C757">
        <v>0</v>
      </c>
      <c r="D757" s="1">
        <v>40000</v>
      </c>
      <c r="E757" s="1">
        <v>20700</v>
      </c>
      <c r="F757">
        <v>0</v>
      </c>
      <c r="G757" s="1">
        <v>18000</v>
      </c>
      <c r="H757" s="1">
        <v>17889</v>
      </c>
      <c r="I757" s="59" t="s">
        <v>2</v>
      </c>
    </row>
    <row r="758" spans="1:9" x14ac:dyDescent="0.2">
      <c r="A758">
        <v>810</v>
      </c>
      <c r="B758">
        <v>1835000</v>
      </c>
      <c r="C758">
        <v>0</v>
      </c>
      <c r="D758" s="1">
        <v>347059</v>
      </c>
      <c r="E758">
        <v>0</v>
      </c>
      <c r="F758" s="1">
        <v>15763.6</v>
      </c>
      <c r="G758" s="1">
        <v>39000</v>
      </c>
      <c r="H758" s="1">
        <v>39222</v>
      </c>
      <c r="I758" s="59" t="s">
        <v>2</v>
      </c>
    </row>
    <row r="759" spans="1:9" x14ac:dyDescent="0.2">
      <c r="A759">
        <v>810</v>
      </c>
      <c r="B759">
        <v>1851000</v>
      </c>
      <c r="C759">
        <v>0</v>
      </c>
      <c r="D759" s="1">
        <v>1756000</v>
      </c>
      <c r="E759">
        <v>0</v>
      </c>
      <c r="F759">
        <v>0</v>
      </c>
      <c r="G759">
        <v>0</v>
      </c>
      <c r="H759" s="1">
        <v>67230</v>
      </c>
      <c r="I759" s="59" t="s">
        <v>2</v>
      </c>
    </row>
    <row r="760" spans="1:9" x14ac:dyDescent="0.2">
      <c r="A760">
        <v>810</v>
      </c>
      <c r="B760">
        <v>1860000</v>
      </c>
      <c r="C760">
        <v>0</v>
      </c>
      <c r="D760" s="1">
        <v>19868</v>
      </c>
      <c r="E760">
        <v>0</v>
      </c>
      <c r="F760" s="1">
        <v>1070</v>
      </c>
      <c r="G760" s="1">
        <v>2000</v>
      </c>
      <c r="H760" s="1">
        <v>3502</v>
      </c>
      <c r="I760" s="59" t="s">
        <v>2</v>
      </c>
    </row>
    <row r="761" spans="1:9" x14ac:dyDescent="0.2">
      <c r="A761">
        <v>810</v>
      </c>
      <c r="B761">
        <v>1870000</v>
      </c>
      <c r="C761">
        <v>0</v>
      </c>
      <c r="D761" s="1">
        <v>180411</v>
      </c>
      <c r="E761">
        <v>0</v>
      </c>
      <c r="F761" s="1">
        <v>125202</v>
      </c>
      <c r="G761" s="1">
        <v>1525000</v>
      </c>
      <c r="H761" s="1">
        <v>109614</v>
      </c>
      <c r="I761" s="59">
        <f>SUM(D726:D761)/1000</f>
        <v>21029.46256</v>
      </c>
    </row>
    <row r="762" spans="1:9" x14ac:dyDescent="0.2">
      <c r="A762">
        <v>811</v>
      </c>
      <c r="B762">
        <v>1723000</v>
      </c>
      <c r="C762">
        <v>0</v>
      </c>
      <c r="D762" s="1">
        <v>288418</v>
      </c>
      <c r="E762">
        <v>0</v>
      </c>
      <c r="F762" s="1">
        <v>34170</v>
      </c>
      <c r="G762" s="1">
        <v>118000</v>
      </c>
      <c r="H762" s="1">
        <v>117958</v>
      </c>
      <c r="I762" s="59">
        <f>D762/1000</f>
        <v>288.41800000000001</v>
      </c>
    </row>
    <row r="763" spans="1:9" x14ac:dyDescent="0.2">
      <c r="A763">
        <v>840</v>
      </c>
      <c r="B763">
        <v>1841020</v>
      </c>
      <c r="C763">
        <v>0</v>
      </c>
      <c r="D763" s="1">
        <v>90000</v>
      </c>
      <c r="E763">
        <v>0</v>
      </c>
      <c r="F763" s="1">
        <v>9704</v>
      </c>
      <c r="G763" s="1">
        <v>124000</v>
      </c>
      <c r="H763">
        <v>0</v>
      </c>
      <c r="I763" s="59" t="s">
        <v>2</v>
      </c>
    </row>
    <row r="764" spans="1:9" x14ac:dyDescent="0.2">
      <c r="A764">
        <v>840</v>
      </c>
      <c r="B764">
        <v>1841100</v>
      </c>
      <c r="C764">
        <v>0</v>
      </c>
      <c r="D764" s="1">
        <v>9815</v>
      </c>
      <c r="E764">
        <v>0</v>
      </c>
      <c r="F764" s="1">
        <v>6332</v>
      </c>
      <c r="G764" s="1">
        <v>20000</v>
      </c>
      <c r="H764" s="1">
        <v>15616</v>
      </c>
      <c r="I764" s="59" t="s">
        <v>2</v>
      </c>
    </row>
    <row r="765" spans="1:9" x14ac:dyDescent="0.2">
      <c r="A765">
        <v>840</v>
      </c>
      <c r="B765">
        <v>1841300</v>
      </c>
      <c r="C765">
        <v>0</v>
      </c>
      <c r="D765" s="1">
        <v>2000</v>
      </c>
      <c r="E765" s="1">
        <v>1053</v>
      </c>
      <c r="F765">
        <v>0</v>
      </c>
      <c r="G765" s="1">
        <v>32000</v>
      </c>
      <c r="H765" s="1">
        <v>32345</v>
      </c>
      <c r="I765" s="59" t="s">
        <v>2</v>
      </c>
    </row>
    <row r="766" spans="1:9" x14ac:dyDescent="0.2">
      <c r="A766">
        <v>840</v>
      </c>
      <c r="B766">
        <v>1842210</v>
      </c>
      <c r="C766">
        <v>0</v>
      </c>
      <c r="D766" s="1">
        <v>465396</v>
      </c>
      <c r="E766">
        <v>0</v>
      </c>
      <c r="F766">
        <v>352</v>
      </c>
      <c r="G766">
        <v>0</v>
      </c>
      <c r="H766">
        <v>0</v>
      </c>
      <c r="I766" s="59" t="s">
        <v>2</v>
      </c>
    </row>
    <row r="767" spans="1:9" x14ac:dyDescent="0.2">
      <c r="A767">
        <v>840</v>
      </c>
      <c r="B767">
        <v>1842220</v>
      </c>
      <c r="C767">
        <v>0</v>
      </c>
      <c r="D767" s="1">
        <v>120241</v>
      </c>
      <c r="E767">
        <v>0</v>
      </c>
      <c r="F767" s="1">
        <v>68599</v>
      </c>
      <c r="G767" s="1">
        <v>7568000</v>
      </c>
      <c r="H767" s="1">
        <v>7038394</v>
      </c>
      <c r="I767" s="59" t="s">
        <v>2</v>
      </c>
    </row>
    <row r="768" spans="1:9" x14ac:dyDescent="0.2">
      <c r="A768">
        <v>840</v>
      </c>
      <c r="B768">
        <v>1842240</v>
      </c>
      <c r="C768">
        <v>0</v>
      </c>
      <c r="D768" s="1">
        <v>85570</v>
      </c>
      <c r="E768" s="1">
        <v>49947</v>
      </c>
      <c r="F768">
        <v>0</v>
      </c>
      <c r="G768" s="1">
        <v>257000</v>
      </c>
      <c r="H768" s="1">
        <v>256731</v>
      </c>
      <c r="I768" s="59" t="s">
        <v>2</v>
      </c>
    </row>
    <row r="769" spans="1:9" x14ac:dyDescent="0.2">
      <c r="A769">
        <v>840</v>
      </c>
      <c r="B769">
        <v>1842290</v>
      </c>
      <c r="C769">
        <v>0</v>
      </c>
      <c r="D769" s="1">
        <v>10690</v>
      </c>
      <c r="E769" s="1">
        <v>1677</v>
      </c>
      <c r="F769">
        <v>0</v>
      </c>
      <c r="G769" s="1">
        <v>2000</v>
      </c>
      <c r="H769" s="1">
        <v>144429</v>
      </c>
      <c r="I769" s="59" t="s">
        <v>2</v>
      </c>
    </row>
    <row r="770" spans="1:9" x14ac:dyDescent="0.2">
      <c r="A770">
        <v>840</v>
      </c>
      <c r="B770">
        <v>1842291</v>
      </c>
      <c r="C770">
        <v>0</v>
      </c>
      <c r="D770" s="1">
        <v>11326.11</v>
      </c>
      <c r="E770" s="1">
        <v>35308</v>
      </c>
      <c r="F770">
        <v>0</v>
      </c>
      <c r="G770" s="1">
        <v>376000</v>
      </c>
      <c r="H770" s="1">
        <v>328853</v>
      </c>
      <c r="I770" s="59" t="s">
        <v>2</v>
      </c>
    </row>
    <row r="771" spans="1:9" x14ac:dyDescent="0.2">
      <c r="A771">
        <v>840</v>
      </c>
      <c r="B771">
        <v>1842410</v>
      </c>
      <c r="C771">
        <v>0</v>
      </c>
      <c r="D771" s="1">
        <v>40358.400000000001</v>
      </c>
      <c r="E771">
        <v>0</v>
      </c>
      <c r="F771" s="1">
        <v>2149</v>
      </c>
      <c r="G771" s="1">
        <v>50000</v>
      </c>
      <c r="H771" s="1">
        <v>30920</v>
      </c>
      <c r="I771" s="59" t="s">
        <v>2</v>
      </c>
    </row>
    <row r="772" spans="1:9" x14ac:dyDescent="0.2">
      <c r="A772">
        <v>840</v>
      </c>
      <c r="B772">
        <v>1842420</v>
      </c>
      <c r="C772">
        <v>0</v>
      </c>
      <c r="D772" s="1">
        <v>37201</v>
      </c>
      <c r="E772" s="1">
        <v>11000</v>
      </c>
      <c r="F772">
        <v>0</v>
      </c>
      <c r="G772" s="1">
        <v>11000</v>
      </c>
      <c r="H772" s="1">
        <v>11349</v>
      </c>
      <c r="I772" s="59" t="s">
        <v>2</v>
      </c>
    </row>
    <row r="773" spans="1:9" x14ac:dyDescent="0.2">
      <c r="A773">
        <v>840</v>
      </c>
      <c r="B773">
        <v>1842431</v>
      </c>
      <c r="C773">
        <v>0</v>
      </c>
      <c r="D773" s="1">
        <v>55274</v>
      </c>
      <c r="E773">
        <v>0</v>
      </c>
      <c r="F773" s="1">
        <v>5315</v>
      </c>
      <c r="G773" s="1">
        <v>6000</v>
      </c>
      <c r="H773" s="1">
        <v>6080</v>
      </c>
      <c r="I773" s="59" t="s">
        <v>2</v>
      </c>
    </row>
    <row r="774" spans="1:9" x14ac:dyDescent="0.2">
      <c r="A774">
        <v>840</v>
      </c>
      <c r="B774">
        <v>1842433</v>
      </c>
      <c r="C774">
        <v>0</v>
      </c>
      <c r="D774" s="1">
        <v>71589</v>
      </c>
      <c r="E774">
        <v>0</v>
      </c>
      <c r="F774" s="1">
        <v>98329</v>
      </c>
      <c r="G774" s="1">
        <v>978000</v>
      </c>
      <c r="H774" s="1">
        <v>990732</v>
      </c>
      <c r="I774" s="59" t="s">
        <v>2</v>
      </c>
    </row>
    <row r="775" spans="1:9" x14ac:dyDescent="0.2">
      <c r="A775">
        <v>840</v>
      </c>
      <c r="B775">
        <v>1842437</v>
      </c>
      <c r="C775">
        <v>0</v>
      </c>
      <c r="D775" s="1">
        <v>5211</v>
      </c>
      <c r="E775" s="1">
        <v>28942</v>
      </c>
      <c r="F775">
        <v>0</v>
      </c>
      <c r="G775" s="1">
        <v>390000</v>
      </c>
      <c r="H775" s="1">
        <v>390454</v>
      </c>
      <c r="I775" s="59" t="s">
        <v>2</v>
      </c>
    </row>
    <row r="776" spans="1:9" x14ac:dyDescent="0.2">
      <c r="A776">
        <v>840</v>
      </c>
      <c r="B776">
        <v>1842441</v>
      </c>
      <c r="C776">
        <v>0</v>
      </c>
      <c r="D776" s="1">
        <v>109565.38</v>
      </c>
      <c r="E776" s="1">
        <v>16325</v>
      </c>
      <c r="F776">
        <v>0</v>
      </c>
      <c r="G776" s="1">
        <v>30000</v>
      </c>
      <c r="H776" s="1">
        <v>29523</v>
      </c>
      <c r="I776" s="59" t="s">
        <v>2</v>
      </c>
    </row>
    <row r="777" spans="1:9" x14ac:dyDescent="0.2">
      <c r="A777">
        <v>840</v>
      </c>
      <c r="B777">
        <v>1843510</v>
      </c>
      <c r="C777">
        <v>0</v>
      </c>
      <c r="D777" s="1">
        <v>273186</v>
      </c>
      <c r="E777">
        <v>187</v>
      </c>
      <c r="F777">
        <v>0</v>
      </c>
      <c r="G777" s="1">
        <v>50000</v>
      </c>
      <c r="H777" s="1">
        <v>48792</v>
      </c>
      <c r="I777" s="59" t="s">
        <v>2</v>
      </c>
    </row>
    <row r="778" spans="1:9" x14ac:dyDescent="0.2">
      <c r="A778">
        <v>840</v>
      </c>
      <c r="B778">
        <v>1843520</v>
      </c>
      <c r="C778">
        <v>0</v>
      </c>
      <c r="D778" s="1">
        <v>4439</v>
      </c>
      <c r="E778" s="1">
        <v>23237</v>
      </c>
      <c r="F778">
        <v>0</v>
      </c>
      <c r="G778" s="1">
        <v>185000</v>
      </c>
      <c r="H778" s="1">
        <v>184747</v>
      </c>
      <c r="I778" s="59" t="s">
        <v>2</v>
      </c>
    </row>
    <row r="779" spans="1:9" x14ac:dyDescent="0.2">
      <c r="A779">
        <v>840</v>
      </c>
      <c r="B779">
        <v>1843530</v>
      </c>
      <c r="C779">
        <v>0</v>
      </c>
      <c r="D779" s="1">
        <v>542208</v>
      </c>
      <c r="E779">
        <v>0</v>
      </c>
      <c r="F779" s="1">
        <v>1318209</v>
      </c>
      <c r="G779" s="1">
        <v>5019000</v>
      </c>
      <c r="H779" s="1">
        <v>5018605</v>
      </c>
      <c r="I779" s="59" t="s">
        <v>2</v>
      </c>
    </row>
    <row r="780" spans="1:9" x14ac:dyDescent="0.2">
      <c r="A780">
        <v>840</v>
      </c>
      <c r="B780">
        <v>1843540</v>
      </c>
      <c r="C780">
        <v>0</v>
      </c>
      <c r="D780" s="1">
        <v>3158</v>
      </c>
      <c r="E780" s="1">
        <v>15018</v>
      </c>
      <c r="F780">
        <v>0</v>
      </c>
      <c r="G780" s="1">
        <v>213000</v>
      </c>
      <c r="H780" s="1">
        <v>213040</v>
      </c>
      <c r="I780" s="59" t="s">
        <v>2</v>
      </c>
    </row>
    <row r="781" spans="1:9" x14ac:dyDescent="0.2">
      <c r="A781">
        <v>840</v>
      </c>
      <c r="B781">
        <v>1843550</v>
      </c>
      <c r="C781">
        <v>0</v>
      </c>
      <c r="D781" s="1">
        <v>187244.7</v>
      </c>
      <c r="E781">
        <v>0</v>
      </c>
      <c r="F781" s="1">
        <v>71704</v>
      </c>
      <c r="G781" s="1">
        <v>341000</v>
      </c>
      <c r="H781" s="1">
        <v>340922</v>
      </c>
      <c r="I781" s="59" t="s">
        <v>2</v>
      </c>
    </row>
    <row r="782" spans="1:9" x14ac:dyDescent="0.2">
      <c r="A782">
        <v>840</v>
      </c>
      <c r="B782">
        <v>1843551</v>
      </c>
      <c r="C782">
        <v>0</v>
      </c>
      <c r="D782" s="1">
        <v>15178</v>
      </c>
      <c r="E782" s="1">
        <v>75759</v>
      </c>
      <c r="F782">
        <v>0</v>
      </c>
      <c r="G782" s="1">
        <v>553000</v>
      </c>
      <c r="H782" s="1">
        <v>552887</v>
      </c>
      <c r="I782" s="59" t="s">
        <v>2</v>
      </c>
    </row>
    <row r="783" spans="1:9" x14ac:dyDescent="0.2">
      <c r="A783">
        <v>840</v>
      </c>
      <c r="B783">
        <v>1843810</v>
      </c>
      <c r="C783">
        <v>0</v>
      </c>
      <c r="D783" s="1">
        <v>3452490</v>
      </c>
      <c r="E783">
        <v>0</v>
      </c>
      <c r="F783">
        <v>0</v>
      </c>
      <c r="G783">
        <v>0</v>
      </c>
      <c r="H783" s="1">
        <v>8717</v>
      </c>
      <c r="I783" s="59" t="s">
        <v>2</v>
      </c>
    </row>
    <row r="784" spans="1:9" x14ac:dyDescent="0.2">
      <c r="A784">
        <v>840</v>
      </c>
      <c r="B784">
        <v>1843820</v>
      </c>
      <c r="C784">
        <v>0</v>
      </c>
      <c r="D784" s="1">
        <v>225496.9</v>
      </c>
      <c r="E784" s="1">
        <v>462998</v>
      </c>
      <c r="F784">
        <v>0</v>
      </c>
      <c r="G784" s="1">
        <v>667000</v>
      </c>
      <c r="H784" s="1">
        <v>1258633</v>
      </c>
      <c r="I784" s="59" t="s">
        <v>2</v>
      </c>
    </row>
    <row r="785" spans="1:9" x14ac:dyDescent="0.2">
      <c r="A785">
        <v>840</v>
      </c>
      <c r="B785">
        <v>1843910</v>
      </c>
      <c r="C785">
        <v>0</v>
      </c>
      <c r="D785" s="1">
        <v>868216</v>
      </c>
      <c r="E785">
        <v>0</v>
      </c>
      <c r="F785" s="1">
        <v>18679</v>
      </c>
      <c r="G785">
        <v>0</v>
      </c>
      <c r="H785">
        <v>0</v>
      </c>
      <c r="I785" s="59" t="s">
        <v>2</v>
      </c>
    </row>
    <row r="786" spans="1:9" x14ac:dyDescent="0.2">
      <c r="A786">
        <v>840</v>
      </c>
      <c r="B786">
        <v>1844310</v>
      </c>
      <c r="C786">
        <v>0</v>
      </c>
      <c r="D786" s="1">
        <v>4670698</v>
      </c>
      <c r="E786">
        <v>0</v>
      </c>
      <c r="F786">
        <v>0</v>
      </c>
      <c r="G786">
        <v>0</v>
      </c>
      <c r="H786" s="1">
        <v>34360</v>
      </c>
      <c r="I786" s="59" t="s">
        <v>2</v>
      </c>
    </row>
    <row r="787" spans="1:9" x14ac:dyDescent="0.2">
      <c r="A787">
        <v>840</v>
      </c>
      <c r="B787">
        <v>1844414</v>
      </c>
      <c r="C787">
        <v>0</v>
      </c>
      <c r="D787" s="1">
        <v>5012.5</v>
      </c>
      <c r="E787">
        <v>991</v>
      </c>
      <c r="F787">
        <v>0</v>
      </c>
      <c r="G787" s="1">
        <v>178000</v>
      </c>
      <c r="H787" s="1">
        <v>177924</v>
      </c>
      <c r="I787" s="59" t="s">
        <v>2</v>
      </c>
    </row>
    <row r="788" spans="1:9" x14ac:dyDescent="0.2">
      <c r="A788">
        <v>840</v>
      </c>
      <c r="B788">
        <v>1844420</v>
      </c>
      <c r="C788">
        <v>0</v>
      </c>
      <c r="D788" s="1">
        <v>13997</v>
      </c>
      <c r="E788" s="1">
        <v>29660</v>
      </c>
      <c r="F788">
        <v>0</v>
      </c>
      <c r="G788" s="1">
        <v>210000</v>
      </c>
      <c r="H788" s="1">
        <v>185491</v>
      </c>
      <c r="I788" s="59" t="s">
        <v>2</v>
      </c>
    </row>
    <row r="789" spans="1:9" x14ac:dyDescent="0.2">
      <c r="A789">
        <v>840</v>
      </c>
      <c r="B789">
        <v>1844425</v>
      </c>
      <c r="C789">
        <v>0</v>
      </c>
      <c r="D789" s="1">
        <v>9884.0499999999993</v>
      </c>
      <c r="E789">
        <v>0</v>
      </c>
      <c r="F789" s="1">
        <v>37039</v>
      </c>
      <c r="G789" s="1">
        <v>116000</v>
      </c>
      <c r="H789" s="1">
        <v>66864</v>
      </c>
      <c r="I789" s="59" t="s">
        <v>2</v>
      </c>
    </row>
    <row r="790" spans="1:9" x14ac:dyDescent="0.2">
      <c r="A790">
        <v>840</v>
      </c>
      <c r="B790">
        <v>1844440</v>
      </c>
      <c r="C790">
        <v>0</v>
      </c>
      <c r="D790" s="1">
        <v>151935</v>
      </c>
      <c r="E790">
        <v>0</v>
      </c>
      <c r="F790" s="1">
        <v>11990</v>
      </c>
      <c r="G790">
        <v>0</v>
      </c>
      <c r="H790">
        <v>0</v>
      </c>
      <c r="I790" s="59" t="s">
        <v>2</v>
      </c>
    </row>
    <row r="791" spans="1:9" x14ac:dyDescent="0.2">
      <c r="A791">
        <v>840</v>
      </c>
      <c r="B791">
        <v>1844450</v>
      </c>
      <c r="C791">
        <v>0</v>
      </c>
      <c r="D791" s="1">
        <v>81697</v>
      </c>
      <c r="E791" s="1">
        <v>2000</v>
      </c>
      <c r="F791">
        <v>0</v>
      </c>
      <c r="G791" s="1">
        <v>2000</v>
      </c>
      <c r="H791" s="1">
        <v>1895</v>
      </c>
      <c r="I791" s="59" t="s">
        <v>2</v>
      </c>
    </row>
    <row r="792" spans="1:9" x14ac:dyDescent="0.2">
      <c r="A792">
        <v>840</v>
      </c>
      <c r="B792">
        <v>1844470</v>
      </c>
      <c r="C792">
        <v>0</v>
      </c>
      <c r="D792" s="1">
        <v>723346</v>
      </c>
      <c r="E792">
        <v>0</v>
      </c>
      <c r="F792" s="1">
        <v>54488</v>
      </c>
      <c r="G792" s="1">
        <v>372000</v>
      </c>
      <c r="H792" s="1">
        <v>352719</v>
      </c>
      <c r="I792" s="59" t="s">
        <v>2</v>
      </c>
    </row>
    <row r="793" spans="1:9" x14ac:dyDescent="0.2">
      <c r="A793">
        <v>840</v>
      </c>
      <c r="B793">
        <v>1844471</v>
      </c>
      <c r="C793">
        <v>0</v>
      </c>
      <c r="D793" s="1">
        <v>66269.2</v>
      </c>
      <c r="E793" s="1">
        <v>31856.5</v>
      </c>
      <c r="F793">
        <v>0</v>
      </c>
      <c r="G793" s="1">
        <v>51000</v>
      </c>
      <c r="H793" s="1">
        <v>97446</v>
      </c>
      <c r="I793" s="59" t="s">
        <v>2</v>
      </c>
    </row>
    <row r="794" spans="1:9" x14ac:dyDescent="0.2">
      <c r="A794">
        <v>840</v>
      </c>
      <c r="B794">
        <v>1844480</v>
      </c>
      <c r="C794">
        <v>0</v>
      </c>
      <c r="D794" s="1">
        <v>18804</v>
      </c>
      <c r="E794" s="1">
        <v>14768</v>
      </c>
      <c r="F794">
        <v>0</v>
      </c>
      <c r="G794" s="1">
        <v>240000</v>
      </c>
      <c r="H794" s="1">
        <v>232816</v>
      </c>
      <c r="I794" s="59" t="s">
        <v>2</v>
      </c>
    </row>
    <row r="795" spans="1:9" x14ac:dyDescent="0.2">
      <c r="A795">
        <v>840</v>
      </c>
      <c r="B795">
        <v>1844481</v>
      </c>
      <c r="C795">
        <v>0</v>
      </c>
      <c r="D795">
        <v>596</v>
      </c>
      <c r="E795" s="1">
        <v>13343</v>
      </c>
      <c r="F795">
        <v>0</v>
      </c>
      <c r="G795" s="1">
        <v>14000</v>
      </c>
      <c r="H795" s="1">
        <v>13600</v>
      </c>
      <c r="I795" s="59" t="s">
        <v>2</v>
      </c>
    </row>
    <row r="796" spans="1:9" x14ac:dyDescent="0.2">
      <c r="A796">
        <v>840</v>
      </c>
      <c r="B796">
        <v>1844490</v>
      </c>
      <c r="C796">
        <v>0</v>
      </c>
      <c r="D796" s="1">
        <v>-2700</v>
      </c>
      <c r="E796" s="1">
        <v>9432</v>
      </c>
      <c r="F796">
        <v>0</v>
      </c>
      <c r="G796" s="1">
        <v>80000</v>
      </c>
      <c r="H796" s="1">
        <v>-2022</v>
      </c>
      <c r="I796" s="59" t="s">
        <v>2</v>
      </c>
    </row>
    <row r="797" spans="1:9" x14ac:dyDescent="0.2">
      <c r="A797">
        <v>840</v>
      </c>
      <c r="B797">
        <v>1844492</v>
      </c>
      <c r="C797">
        <v>0</v>
      </c>
      <c r="D797" s="1">
        <v>54763.6</v>
      </c>
      <c r="E797" s="1">
        <v>4043.29</v>
      </c>
      <c r="F797">
        <v>0</v>
      </c>
      <c r="G797" s="1">
        <v>13000</v>
      </c>
      <c r="H797" s="1">
        <v>12927</v>
      </c>
      <c r="I797" s="59" t="s">
        <v>2</v>
      </c>
    </row>
    <row r="798" spans="1:9" x14ac:dyDescent="0.2">
      <c r="A798">
        <v>840</v>
      </c>
      <c r="B798">
        <v>1844493</v>
      </c>
      <c r="C798">
        <v>0</v>
      </c>
      <c r="D798" s="1">
        <v>20621.97</v>
      </c>
      <c r="E798">
        <v>0</v>
      </c>
      <c r="F798">
        <v>0</v>
      </c>
      <c r="G798">
        <v>0</v>
      </c>
      <c r="H798" s="1">
        <v>108185.36</v>
      </c>
      <c r="I798" s="59" t="s">
        <v>2</v>
      </c>
    </row>
    <row r="799" spans="1:9" x14ac:dyDescent="0.2">
      <c r="A799">
        <v>840</v>
      </c>
      <c r="B799">
        <v>1844510</v>
      </c>
      <c r="C799">
        <v>0</v>
      </c>
      <c r="D799" s="1">
        <v>642832</v>
      </c>
      <c r="E799">
        <v>0</v>
      </c>
      <c r="F799">
        <v>0</v>
      </c>
      <c r="G799">
        <v>0</v>
      </c>
      <c r="H799" s="1">
        <v>94570.12</v>
      </c>
      <c r="I799" s="59" t="s">
        <v>2</v>
      </c>
    </row>
    <row r="800" spans="1:9" x14ac:dyDescent="0.2">
      <c r="A800">
        <v>840</v>
      </c>
      <c r="B800">
        <v>1844511</v>
      </c>
      <c r="C800">
        <v>0</v>
      </c>
      <c r="D800" s="1">
        <v>532604</v>
      </c>
      <c r="E800" s="1">
        <v>5340</v>
      </c>
      <c r="F800">
        <v>0</v>
      </c>
      <c r="G800" s="1">
        <v>12000</v>
      </c>
      <c r="H800" s="1">
        <v>6017</v>
      </c>
      <c r="I800" s="59" t="s">
        <v>2</v>
      </c>
    </row>
    <row r="801" spans="1:9" x14ac:dyDescent="0.2">
      <c r="A801">
        <v>840</v>
      </c>
      <c r="B801">
        <v>1845100</v>
      </c>
      <c r="C801">
        <v>0</v>
      </c>
      <c r="D801" s="1">
        <v>3070</v>
      </c>
      <c r="E801">
        <v>0</v>
      </c>
      <c r="F801" s="1">
        <v>5298.24</v>
      </c>
      <c r="G801">
        <v>0</v>
      </c>
      <c r="H801" s="1">
        <v>1129.5899999999999</v>
      </c>
      <c r="I801" s="59" t="s">
        <v>2</v>
      </c>
    </row>
    <row r="802" spans="1:9" x14ac:dyDescent="0.2">
      <c r="A802">
        <v>840</v>
      </c>
      <c r="B802">
        <v>1845110</v>
      </c>
      <c r="C802">
        <v>0</v>
      </c>
      <c r="D802" s="1">
        <v>1650202</v>
      </c>
      <c r="E802" s="1">
        <v>344277</v>
      </c>
      <c r="F802">
        <v>0</v>
      </c>
      <c r="G802" s="1">
        <v>400000</v>
      </c>
      <c r="H802" s="1">
        <v>399751</v>
      </c>
      <c r="I802" s="59" t="s">
        <v>2</v>
      </c>
    </row>
    <row r="803" spans="1:9" x14ac:dyDescent="0.2">
      <c r="A803">
        <v>840</v>
      </c>
      <c r="B803">
        <v>1845111</v>
      </c>
      <c r="C803">
        <v>0</v>
      </c>
      <c r="D803" s="1">
        <v>152170</v>
      </c>
      <c r="E803" s="1">
        <v>11680</v>
      </c>
      <c r="F803">
        <v>0</v>
      </c>
      <c r="G803" s="1">
        <v>17000</v>
      </c>
      <c r="H803" s="1">
        <v>16586</v>
      </c>
      <c r="I803" s="59" t="s">
        <v>2</v>
      </c>
    </row>
    <row r="804" spans="1:9" x14ac:dyDescent="0.2">
      <c r="A804">
        <v>840</v>
      </c>
      <c r="B804">
        <v>1845112</v>
      </c>
      <c r="C804">
        <v>0</v>
      </c>
      <c r="D804" s="1">
        <v>133704</v>
      </c>
      <c r="E804" s="1">
        <v>25172.400000000001</v>
      </c>
      <c r="F804">
        <v>0</v>
      </c>
      <c r="G804" s="1">
        <v>100000</v>
      </c>
      <c r="H804" s="1">
        <v>74741.5</v>
      </c>
      <c r="I804" s="59" t="s">
        <v>2</v>
      </c>
    </row>
    <row r="805" spans="1:9" x14ac:dyDescent="0.2">
      <c r="A805">
        <v>840</v>
      </c>
      <c r="B805">
        <v>1845120</v>
      </c>
      <c r="C805">
        <v>0</v>
      </c>
      <c r="D805" s="1">
        <v>26332</v>
      </c>
      <c r="E805" s="1">
        <v>5082.5</v>
      </c>
      <c r="F805">
        <v>0</v>
      </c>
      <c r="G805" s="1">
        <v>56000</v>
      </c>
      <c r="H805" s="1">
        <v>573642.5</v>
      </c>
      <c r="I805" s="59" t="s">
        <v>2</v>
      </c>
    </row>
    <row r="806" spans="1:9" x14ac:dyDescent="0.2">
      <c r="A806">
        <v>840</v>
      </c>
      <c r="B806">
        <v>1845121</v>
      </c>
      <c r="C806">
        <v>0</v>
      </c>
      <c r="D806" s="1">
        <v>30947</v>
      </c>
      <c r="E806" s="1">
        <v>1006</v>
      </c>
      <c r="F806">
        <v>0</v>
      </c>
      <c r="G806" s="1">
        <v>6000</v>
      </c>
      <c r="H806" s="1">
        <v>6394</v>
      </c>
      <c r="I806" s="59" t="s">
        <v>2</v>
      </c>
    </row>
    <row r="807" spans="1:9" x14ac:dyDescent="0.2">
      <c r="A807">
        <v>840</v>
      </c>
      <c r="B807">
        <v>1845122</v>
      </c>
      <c r="C807">
        <v>0</v>
      </c>
      <c r="D807">
        <v>352</v>
      </c>
      <c r="E807" s="1">
        <v>3207.5</v>
      </c>
      <c r="F807">
        <v>0</v>
      </c>
      <c r="G807" s="1">
        <v>7000</v>
      </c>
      <c r="H807" s="1">
        <v>7471.5</v>
      </c>
      <c r="I807" s="59" t="s">
        <v>2</v>
      </c>
    </row>
    <row r="808" spans="1:9" x14ac:dyDescent="0.2">
      <c r="A808">
        <v>840</v>
      </c>
      <c r="B808">
        <v>1845130</v>
      </c>
      <c r="C808">
        <v>0</v>
      </c>
      <c r="D808" s="1">
        <v>7636599</v>
      </c>
      <c r="E808">
        <v>0</v>
      </c>
      <c r="F808" s="1">
        <v>2750</v>
      </c>
      <c r="G808" s="1">
        <v>14000</v>
      </c>
      <c r="H808" s="1">
        <v>3800</v>
      </c>
      <c r="I808" s="59" t="s">
        <v>2</v>
      </c>
    </row>
    <row r="809" spans="1:9" x14ac:dyDescent="0.2">
      <c r="A809">
        <v>840</v>
      </c>
      <c r="B809">
        <v>1845150</v>
      </c>
      <c r="C809">
        <v>0</v>
      </c>
      <c r="D809" s="1">
        <v>3870920</v>
      </c>
      <c r="E809">
        <v>0</v>
      </c>
      <c r="F809" s="1">
        <v>10466</v>
      </c>
      <c r="G809" s="1">
        <v>9000</v>
      </c>
      <c r="H809" s="1">
        <v>9173</v>
      </c>
      <c r="I809" s="59" t="s">
        <v>2</v>
      </c>
    </row>
    <row r="810" spans="1:9" x14ac:dyDescent="0.2">
      <c r="A810">
        <v>840</v>
      </c>
      <c r="B810">
        <v>1845160</v>
      </c>
      <c r="C810">
        <v>0</v>
      </c>
      <c r="D810" s="1">
        <v>207053</v>
      </c>
      <c r="E810">
        <v>0</v>
      </c>
      <c r="F810" s="1">
        <v>1152</v>
      </c>
      <c r="G810">
        <v>0</v>
      </c>
      <c r="H810">
        <v>0</v>
      </c>
      <c r="I810" s="59" t="s">
        <v>2</v>
      </c>
    </row>
    <row r="811" spans="1:9" x14ac:dyDescent="0.2">
      <c r="A811">
        <v>840</v>
      </c>
      <c r="B811">
        <v>1845170</v>
      </c>
      <c r="C811">
        <v>0</v>
      </c>
      <c r="D811">
        <v>323</v>
      </c>
      <c r="E811" s="1">
        <v>5100</v>
      </c>
      <c r="F811">
        <v>0</v>
      </c>
      <c r="G811" s="1">
        <v>7000</v>
      </c>
      <c r="H811" s="1">
        <v>7444</v>
      </c>
      <c r="I811" s="59" t="s">
        <v>2</v>
      </c>
    </row>
    <row r="812" spans="1:9" x14ac:dyDescent="0.2">
      <c r="A812">
        <v>840</v>
      </c>
      <c r="B812">
        <v>1845180</v>
      </c>
      <c r="C812">
        <v>0</v>
      </c>
      <c r="D812" s="1">
        <v>340692</v>
      </c>
      <c r="E812" s="1">
        <v>2332</v>
      </c>
      <c r="F812">
        <v>0</v>
      </c>
      <c r="G812" s="1">
        <v>4000</v>
      </c>
      <c r="H812">
        <v>0</v>
      </c>
      <c r="I812" s="59" t="s">
        <v>2</v>
      </c>
    </row>
    <row r="813" spans="1:9" x14ac:dyDescent="0.2">
      <c r="A813">
        <v>840</v>
      </c>
      <c r="B813">
        <v>1845190</v>
      </c>
      <c r="C813">
        <v>0</v>
      </c>
      <c r="D813" s="1">
        <v>52149</v>
      </c>
      <c r="E813" s="1">
        <v>9200</v>
      </c>
      <c r="F813">
        <v>0</v>
      </c>
      <c r="G813" s="1">
        <v>25000</v>
      </c>
      <c r="H813" s="1">
        <v>25000</v>
      </c>
      <c r="I813" s="59" t="s">
        <v>2</v>
      </c>
    </row>
    <row r="814" spans="1:9" x14ac:dyDescent="0.2">
      <c r="A814">
        <v>840</v>
      </c>
      <c r="B814">
        <v>1845200</v>
      </c>
      <c r="C814">
        <v>0</v>
      </c>
      <c r="D814" s="1">
        <v>1217118</v>
      </c>
      <c r="E814" s="1">
        <v>341000</v>
      </c>
      <c r="F814">
        <v>0</v>
      </c>
      <c r="G814" s="1">
        <v>2097000</v>
      </c>
      <c r="H814" s="1">
        <v>1756000</v>
      </c>
      <c r="I814" s="59" t="s">
        <v>2</v>
      </c>
    </row>
    <row r="815" spans="1:9" x14ac:dyDescent="0.2">
      <c r="A815">
        <v>840</v>
      </c>
      <c r="B815">
        <v>1845210</v>
      </c>
      <c r="C815">
        <v>0</v>
      </c>
      <c r="D815" s="1">
        <v>11315</v>
      </c>
      <c r="E815">
        <v>237.86</v>
      </c>
      <c r="F815">
        <v>0</v>
      </c>
      <c r="G815" s="1">
        <v>10000</v>
      </c>
      <c r="H815" s="1">
        <v>7632.4</v>
      </c>
      <c r="I815" s="59" t="s">
        <v>2</v>
      </c>
    </row>
    <row r="816" spans="1:9" x14ac:dyDescent="0.2">
      <c r="A816">
        <v>840</v>
      </c>
      <c r="B816">
        <v>1845220</v>
      </c>
      <c r="C816">
        <v>0</v>
      </c>
      <c r="D816" s="1">
        <v>1076329</v>
      </c>
      <c r="E816" s="1">
        <v>9000</v>
      </c>
      <c r="F816">
        <v>0</v>
      </c>
      <c r="G816" s="1">
        <v>9000</v>
      </c>
      <c r="H816" s="1">
        <v>9304</v>
      </c>
      <c r="I816" s="59" t="s">
        <v>2</v>
      </c>
    </row>
    <row r="817" spans="1:9" x14ac:dyDescent="0.2">
      <c r="A817">
        <v>840</v>
      </c>
      <c r="B817">
        <v>1845230</v>
      </c>
      <c r="C817">
        <v>0</v>
      </c>
      <c r="D817" s="1">
        <v>361058</v>
      </c>
      <c r="E817">
        <v>322.37</v>
      </c>
      <c r="F817">
        <v>0</v>
      </c>
      <c r="G817" s="1">
        <v>70000</v>
      </c>
      <c r="H817" s="1">
        <v>119938.7</v>
      </c>
      <c r="I817" s="59" t="s">
        <v>2</v>
      </c>
    </row>
    <row r="818" spans="1:9" x14ac:dyDescent="0.2">
      <c r="A818">
        <v>840</v>
      </c>
      <c r="B818">
        <v>1845310</v>
      </c>
      <c r="C818">
        <v>0</v>
      </c>
      <c r="D818" s="1">
        <v>13675</v>
      </c>
      <c r="E818" s="1">
        <v>3132</v>
      </c>
      <c r="F818">
        <v>0</v>
      </c>
      <c r="G818" s="1">
        <v>23000</v>
      </c>
      <c r="H818" s="1">
        <v>23752</v>
      </c>
      <c r="I818" s="59" t="s">
        <v>2</v>
      </c>
    </row>
    <row r="819" spans="1:9" x14ac:dyDescent="0.2">
      <c r="A819">
        <v>840</v>
      </c>
      <c r="B819">
        <v>1845320</v>
      </c>
      <c r="C819">
        <v>0</v>
      </c>
      <c r="D819" s="1">
        <v>324344</v>
      </c>
      <c r="E819">
        <v>0</v>
      </c>
      <c r="F819" s="1">
        <v>411647.82</v>
      </c>
      <c r="G819" s="1">
        <v>2106000</v>
      </c>
      <c r="H819" s="1">
        <v>1619182.16</v>
      </c>
      <c r="I819" s="59" t="s">
        <v>2</v>
      </c>
    </row>
    <row r="820" spans="1:9" x14ac:dyDescent="0.2">
      <c r="A820">
        <v>840</v>
      </c>
      <c r="B820">
        <v>1845340</v>
      </c>
      <c r="C820">
        <v>0</v>
      </c>
      <c r="D820" s="1">
        <v>49813</v>
      </c>
      <c r="E820">
        <v>0</v>
      </c>
      <c r="F820">
        <v>655</v>
      </c>
      <c r="G820">
        <v>0</v>
      </c>
      <c r="H820">
        <v>820</v>
      </c>
      <c r="I820" s="59" t="s">
        <v>2</v>
      </c>
    </row>
    <row r="821" spans="1:9" x14ac:dyDescent="0.2">
      <c r="A821">
        <v>840</v>
      </c>
      <c r="B821">
        <v>1846300</v>
      </c>
      <c r="C821">
        <v>0</v>
      </c>
      <c r="D821" s="1">
        <v>161763</v>
      </c>
      <c r="E821" s="1">
        <v>411783.08</v>
      </c>
      <c r="F821">
        <v>0</v>
      </c>
      <c r="G821" s="1">
        <v>654000</v>
      </c>
      <c r="H821">
        <v>0</v>
      </c>
      <c r="I821" s="59" t="s">
        <v>2</v>
      </c>
    </row>
    <row r="822" spans="1:9" x14ac:dyDescent="0.2">
      <c r="A822">
        <v>840</v>
      </c>
      <c r="B822">
        <v>1846500</v>
      </c>
      <c r="C822">
        <v>0</v>
      </c>
      <c r="D822" s="1">
        <v>6337209</v>
      </c>
      <c r="E822">
        <v>0</v>
      </c>
      <c r="F822">
        <v>411</v>
      </c>
      <c r="G822" s="1">
        <v>180000</v>
      </c>
      <c r="H822" s="1">
        <v>180411</v>
      </c>
      <c r="I822" s="59" t="s">
        <v>2</v>
      </c>
    </row>
    <row r="823" spans="1:9" x14ac:dyDescent="0.2">
      <c r="A823">
        <v>840</v>
      </c>
      <c r="B823">
        <v>1846510</v>
      </c>
      <c r="C823">
        <v>0</v>
      </c>
      <c r="D823" s="1">
        <v>197982</v>
      </c>
      <c r="E823">
        <v>0</v>
      </c>
      <c r="F823">
        <v>384.85</v>
      </c>
      <c r="G823" s="1">
        <v>2000</v>
      </c>
      <c r="H823">
        <v>0</v>
      </c>
      <c r="I823" s="59" t="s">
        <v>2</v>
      </c>
    </row>
    <row r="824" spans="1:9" x14ac:dyDescent="0.2">
      <c r="A824">
        <v>840</v>
      </c>
      <c r="B824">
        <v>1846610</v>
      </c>
      <c r="C824">
        <v>0</v>
      </c>
      <c r="D824" s="1">
        <v>412704</v>
      </c>
      <c r="E824" s="1">
        <v>4202.66</v>
      </c>
      <c r="F824">
        <v>0</v>
      </c>
      <c r="G824" s="1">
        <v>20000</v>
      </c>
      <c r="H824" s="1">
        <v>27157.18</v>
      </c>
      <c r="I824" s="59" t="s">
        <v>2</v>
      </c>
    </row>
    <row r="825" spans="1:9" x14ac:dyDescent="0.2">
      <c r="A825">
        <v>840</v>
      </c>
      <c r="B825">
        <v>1846620</v>
      </c>
      <c r="C825">
        <v>0</v>
      </c>
      <c r="D825" s="1">
        <v>477241</v>
      </c>
      <c r="E825">
        <v>0</v>
      </c>
      <c r="F825" s="1">
        <v>4414.8999999999996</v>
      </c>
      <c r="G825" s="1">
        <v>14000</v>
      </c>
      <c r="H825" s="1">
        <v>15057.86</v>
      </c>
      <c r="I825" s="59" t="s">
        <v>2</v>
      </c>
    </row>
    <row r="826" spans="1:9" x14ac:dyDescent="0.2">
      <c r="A826">
        <v>840</v>
      </c>
      <c r="B826">
        <v>1846710</v>
      </c>
      <c r="C826">
        <v>0</v>
      </c>
      <c r="D826" s="1">
        <v>204002</v>
      </c>
      <c r="E826">
        <v>0</v>
      </c>
      <c r="F826" s="1">
        <v>20280.689999999999</v>
      </c>
      <c r="G826" s="1">
        <v>29000</v>
      </c>
      <c r="H826" s="1">
        <v>88260.54</v>
      </c>
      <c r="I826" s="59" t="s">
        <v>2</v>
      </c>
    </row>
    <row r="827" spans="1:9" x14ac:dyDescent="0.2">
      <c r="A827">
        <v>840</v>
      </c>
      <c r="B827">
        <v>1846711</v>
      </c>
      <c r="C827">
        <v>0</v>
      </c>
      <c r="D827" s="1">
        <v>18679</v>
      </c>
      <c r="E827" s="1">
        <v>1516.5</v>
      </c>
      <c r="F827">
        <v>0</v>
      </c>
      <c r="G827" s="1">
        <v>4000</v>
      </c>
      <c r="H827" s="1">
        <v>4086.52</v>
      </c>
      <c r="I827" s="59" t="s">
        <v>2</v>
      </c>
    </row>
    <row r="828" spans="1:9" x14ac:dyDescent="0.2">
      <c r="A828">
        <v>840</v>
      </c>
      <c r="B828">
        <v>1846730</v>
      </c>
      <c r="C828">
        <v>0</v>
      </c>
      <c r="D828" s="1">
        <v>177009</v>
      </c>
      <c r="E828">
        <v>0</v>
      </c>
      <c r="F828" s="1">
        <v>6757.24</v>
      </c>
      <c r="G828" s="1">
        <v>1419000</v>
      </c>
      <c r="H828" s="1">
        <v>1510462.49</v>
      </c>
      <c r="I828" s="59" t="s">
        <v>2</v>
      </c>
    </row>
    <row r="829" spans="1:9" x14ac:dyDescent="0.2">
      <c r="A829">
        <v>840</v>
      </c>
      <c r="B829">
        <v>1846750</v>
      </c>
      <c r="C829">
        <v>0</v>
      </c>
      <c r="D829" s="1">
        <v>180340</v>
      </c>
      <c r="E829">
        <v>47.11</v>
      </c>
      <c r="F829">
        <v>0</v>
      </c>
      <c r="G829" s="1">
        <v>15000</v>
      </c>
      <c r="H829" s="1">
        <v>8855.06</v>
      </c>
      <c r="I829" s="59" t="s">
        <v>2</v>
      </c>
    </row>
    <row r="830" spans="1:9" x14ac:dyDescent="0.2">
      <c r="A830">
        <v>840</v>
      </c>
      <c r="B830">
        <v>1846760</v>
      </c>
      <c r="C830">
        <v>0</v>
      </c>
      <c r="D830" s="1">
        <v>153039</v>
      </c>
      <c r="E830">
        <v>0</v>
      </c>
      <c r="F830">
        <v>296</v>
      </c>
      <c r="G830">
        <v>0</v>
      </c>
      <c r="H830">
        <v>0</v>
      </c>
      <c r="I830" s="59" t="s">
        <v>2</v>
      </c>
    </row>
    <row r="831" spans="1:9" x14ac:dyDescent="0.2">
      <c r="A831">
        <v>840</v>
      </c>
      <c r="B831">
        <v>1846761</v>
      </c>
      <c r="C831">
        <v>0</v>
      </c>
      <c r="D831" s="1">
        <v>11990</v>
      </c>
      <c r="E831" s="1">
        <v>4895.51</v>
      </c>
      <c r="F831">
        <v>0</v>
      </c>
      <c r="G831" s="1">
        <v>55000</v>
      </c>
      <c r="H831" s="1">
        <v>244878.73</v>
      </c>
      <c r="I831" s="59" t="s">
        <v>2</v>
      </c>
    </row>
    <row r="832" spans="1:9" x14ac:dyDescent="0.2">
      <c r="A832">
        <v>840</v>
      </c>
      <c r="B832">
        <v>1846820</v>
      </c>
      <c r="C832">
        <v>0</v>
      </c>
      <c r="D832" s="1">
        <v>426488</v>
      </c>
      <c r="E832" s="1">
        <v>3118.04</v>
      </c>
      <c r="F832">
        <v>0</v>
      </c>
      <c r="G832" s="1">
        <v>35000</v>
      </c>
      <c r="H832">
        <v>0</v>
      </c>
      <c r="I832" s="59" t="s">
        <v>2</v>
      </c>
    </row>
    <row r="833" spans="1:9" x14ac:dyDescent="0.2">
      <c r="A833">
        <v>840</v>
      </c>
      <c r="B833">
        <v>1846830</v>
      </c>
      <c r="C833">
        <v>0</v>
      </c>
      <c r="D833" s="1">
        <v>19143.5</v>
      </c>
      <c r="E833">
        <v>172</v>
      </c>
      <c r="F833">
        <v>0</v>
      </c>
      <c r="G833" s="1">
        <v>10000</v>
      </c>
      <c r="H833">
        <v>0</v>
      </c>
      <c r="I833" s="59" t="s">
        <v>2</v>
      </c>
    </row>
    <row r="834" spans="1:9" x14ac:dyDescent="0.2">
      <c r="A834">
        <v>840</v>
      </c>
      <c r="B834">
        <v>1847100</v>
      </c>
      <c r="C834">
        <v>0</v>
      </c>
      <c r="D834" s="1">
        <v>225232</v>
      </c>
      <c r="E834" s="1">
        <v>2000</v>
      </c>
      <c r="F834">
        <v>0</v>
      </c>
      <c r="G834" s="1">
        <v>2000</v>
      </c>
      <c r="H834">
        <v>0</v>
      </c>
      <c r="I834" s="59" t="s">
        <v>2</v>
      </c>
    </row>
    <row r="835" spans="1:9" x14ac:dyDescent="0.2">
      <c r="A835">
        <v>840</v>
      </c>
      <c r="B835">
        <v>1847130</v>
      </c>
      <c r="C835">
        <v>0</v>
      </c>
      <c r="D835">
        <v>657</v>
      </c>
      <c r="E835">
        <v>0</v>
      </c>
      <c r="F835">
        <v>0</v>
      </c>
      <c r="G835" s="1">
        <v>40000</v>
      </c>
      <c r="H835" s="1">
        <v>40000</v>
      </c>
      <c r="I835" s="59" t="s">
        <v>2</v>
      </c>
    </row>
    <row r="836" spans="1:9" x14ac:dyDescent="0.2">
      <c r="A836">
        <v>840</v>
      </c>
      <c r="B836">
        <v>1847140</v>
      </c>
      <c r="C836">
        <v>0</v>
      </c>
      <c r="D836" s="1">
        <v>70568</v>
      </c>
      <c r="E836" s="1">
        <v>2167.9</v>
      </c>
      <c r="F836">
        <v>0</v>
      </c>
      <c r="G836" s="1">
        <v>1519000</v>
      </c>
      <c r="H836" s="1">
        <v>1481110.13</v>
      </c>
      <c r="I836" s="59" t="s">
        <v>2</v>
      </c>
    </row>
    <row r="837" spans="1:9" x14ac:dyDescent="0.2">
      <c r="A837">
        <v>840</v>
      </c>
      <c r="B837">
        <v>1847150</v>
      </c>
      <c r="C837">
        <v>0</v>
      </c>
      <c r="D837" s="1">
        <v>8956.7099999999991</v>
      </c>
      <c r="E837">
        <v>0</v>
      </c>
      <c r="F837">
        <v>0</v>
      </c>
      <c r="G837">
        <v>0</v>
      </c>
      <c r="H837" s="1">
        <v>1329</v>
      </c>
      <c r="I837" s="59" t="s">
        <v>2</v>
      </c>
    </row>
    <row r="838" spans="1:9" x14ac:dyDescent="0.2">
      <c r="A838">
        <v>840</v>
      </c>
      <c r="B838">
        <v>1847310</v>
      </c>
      <c r="C838">
        <v>0</v>
      </c>
      <c r="D838" s="1">
        <v>6660</v>
      </c>
      <c r="E838" s="1">
        <v>3886.83</v>
      </c>
      <c r="F838">
        <v>0</v>
      </c>
      <c r="G838" s="1">
        <v>95000</v>
      </c>
      <c r="H838" s="1">
        <v>85502.96</v>
      </c>
      <c r="I838" s="59" t="s">
        <v>2</v>
      </c>
    </row>
    <row r="839" spans="1:9" x14ac:dyDescent="0.2">
      <c r="A839">
        <v>840</v>
      </c>
      <c r="B839">
        <v>1847312</v>
      </c>
      <c r="C839">
        <v>0</v>
      </c>
      <c r="D839" s="1">
        <v>5298.24</v>
      </c>
      <c r="E839" s="1">
        <v>4200.2700000000004</v>
      </c>
      <c r="F839">
        <v>0</v>
      </c>
      <c r="G839" s="1">
        <v>10000</v>
      </c>
      <c r="H839" s="1">
        <v>10062.299999999999</v>
      </c>
      <c r="I839" s="59" t="s">
        <v>2</v>
      </c>
    </row>
    <row r="840" spans="1:9" x14ac:dyDescent="0.2">
      <c r="A840">
        <v>840</v>
      </c>
      <c r="B840">
        <v>1847340</v>
      </c>
      <c r="C840">
        <v>0</v>
      </c>
      <c r="D840" s="1">
        <v>55723</v>
      </c>
      <c r="E840" s="1">
        <v>1000</v>
      </c>
      <c r="F840">
        <v>0</v>
      </c>
      <c r="G840" s="1">
        <v>1000</v>
      </c>
      <c r="H840">
        <v>743</v>
      </c>
      <c r="I840" s="59" t="s">
        <v>2</v>
      </c>
    </row>
    <row r="841" spans="1:9" x14ac:dyDescent="0.2">
      <c r="A841">
        <v>840</v>
      </c>
      <c r="B841">
        <v>1848211</v>
      </c>
      <c r="C841">
        <v>0</v>
      </c>
      <c r="D841" s="1">
        <v>5320</v>
      </c>
      <c r="E841" s="1">
        <v>1876.8</v>
      </c>
      <c r="F841">
        <v>0</v>
      </c>
      <c r="G841" s="1">
        <v>2000</v>
      </c>
      <c r="H841" s="1">
        <v>3336.6</v>
      </c>
      <c r="I841" s="59" t="s">
        <v>2</v>
      </c>
    </row>
    <row r="842" spans="1:9" x14ac:dyDescent="0.2">
      <c r="A842">
        <v>840</v>
      </c>
      <c r="B842">
        <v>1848220</v>
      </c>
      <c r="C842">
        <v>0</v>
      </c>
      <c r="D842" s="1">
        <v>74827.600000000006</v>
      </c>
      <c r="E842" s="1">
        <v>33726.39</v>
      </c>
      <c r="F842">
        <v>0</v>
      </c>
      <c r="G842" s="1">
        <v>831000</v>
      </c>
      <c r="H842" s="1">
        <v>763219.26</v>
      </c>
      <c r="I842" s="59" t="s">
        <v>2</v>
      </c>
    </row>
    <row r="843" spans="1:9" x14ac:dyDescent="0.2">
      <c r="A843">
        <v>840</v>
      </c>
      <c r="B843">
        <v>1848310</v>
      </c>
      <c r="C843">
        <v>0</v>
      </c>
      <c r="D843" s="1">
        <v>50917.5</v>
      </c>
      <c r="E843" s="1">
        <v>1329.59</v>
      </c>
      <c r="F843">
        <v>0</v>
      </c>
      <c r="G843" s="1">
        <v>3000</v>
      </c>
      <c r="H843" s="1">
        <v>2591.5700000000002</v>
      </c>
      <c r="I843" s="59" t="s">
        <v>2</v>
      </c>
    </row>
    <row r="844" spans="1:9" x14ac:dyDescent="0.2">
      <c r="A844">
        <v>840</v>
      </c>
      <c r="B844">
        <v>1848311</v>
      </c>
      <c r="C844">
        <v>0</v>
      </c>
      <c r="D844" s="1">
        <v>4994</v>
      </c>
      <c r="E844">
        <v>129.46</v>
      </c>
      <c r="F844">
        <v>0</v>
      </c>
      <c r="G844" s="1">
        <v>3000</v>
      </c>
      <c r="H844" s="1">
        <v>2829.66</v>
      </c>
      <c r="I844" s="59" t="s">
        <v>2</v>
      </c>
    </row>
    <row r="845" spans="1:9" x14ac:dyDescent="0.2">
      <c r="A845">
        <v>840</v>
      </c>
      <c r="B845">
        <v>1848312</v>
      </c>
      <c r="C845">
        <v>0</v>
      </c>
      <c r="D845" s="1">
        <v>3792.5</v>
      </c>
      <c r="E845">
        <v>0</v>
      </c>
      <c r="F845" s="1">
        <v>2971</v>
      </c>
      <c r="G845" s="1">
        <v>2000</v>
      </c>
      <c r="H845">
        <v>0</v>
      </c>
      <c r="I845" s="59" t="s">
        <v>2</v>
      </c>
    </row>
    <row r="846" spans="1:9" x14ac:dyDescent="0.2">
      <c r="A846">
        <v>840</v>
      </c>
      <c r="B846">
        <v>1849030</v>
      </c>
      <c r="C846">
        <v>0</v>
      </c>
      <c r="D846" s="1">
        <v>16750</v>
      </c>
      <c r="E846" s="1">
        <v>7481</v>
      </c>
      <c r="F846">
        <v>0</v>
      </c>
      <c r="G846" s="1">
        <v>12000</v>
      </c>
      <c r="H846" s="1">
        <v>10842</v>
      </c>
      <c r="I846" s="59" t="s">
        <v>2</v>
      </c>
    </row>
    <row r="847" spans="1:9" x14ac:dyDescent="0.2">
      <c r="A847">
        <v>840</v>
      </c>
      <c r="B847">
        <v>1849050</v>
      </c>
      <c r="C847">
        <v>0</v>
      </c>
      <c r="D847" s="1">
        <v>19466</v>
      </c>
      <c r="E847">
        <v>0</v>
      </c>
      <c r="F847" s="1">
        <v>1129882.08</v>
      </c>
      <c r="G847" s="1">
        <v>500000</v>
      </c>
      <c r="H847" s="1">
        <v>1314474.76</v>
      </c>
      <c r="I847" s="59" t="s">
        <v>2</v>
      </c>
    </row>
    <row r="848" spans="1:9" x14ac:dyDescent="0.2">
      <c r="A848">
        <v>840</v>
      </c>
      <c r="B848">
        <v>1849051</v>
      </c>
      <c r="C848">
        <v>0</v>
      </c>
      <c r="D848" s="1">
        <v>1152</v>
      </c>
      <c r="E848">
        <v>226.5</v>
      </c>
      <c r="F848">
        <v>0</v>
      </c>
      <c r="G848" s="1">
        <v>6000</v>
      </c>
      <c r="H848">
        <v>0</v>
      </c>
      <c r="I848" s="59" t="s">
        <v>2</v>
      </c>
    </row>
    <row r="849" spans="1:9" x14ac:dyDescent="0.2">
      <c r="A849">
        <v>840</v>
      </c>
      <c r="B849">
        <v>1849080</v>
      </c>
      <c r="C849">
        <v>0</v>
      </c>
      <c r="D849" s="1">
        <v>1900</v>
      </c>
      <c r="E849" s="1">
        <v>1000</v>
      </c>
      <c r="F849">
        <v>0</v>
      </c>
      <c r="G849" s="1">
        <v>1000</v>
      </c>
      <c r="H849">
        <v>0</v>
      </c>
      <c r="I849" s="59" t="s">
        <v>2</v>
      </c>
    </row>
    <row r="850" spans="1:9" x14ac:dyDescent="0.2">
      <c r="A850">
        <v>840</v>
      </c>
      <c r="B850">
        <v>1849100</v>
      </c>
      <c r="C850">
        <v>0</v>
      </c>
      <c r="D850" s="1">
        <v>1668</v>
      </c>
      <c r="E850">
        <v>0</v>
      </c>
      <c r="F850" s="1">
        <v>362693.57</v>
      </c>
      <c r="G850" s="1">
        <v>498000</v>
      </c>
      <c r="H850" s="1">
        <v>728982.14</v>
      </c>
      <c r="I850" s="59" t="s">
        <v>2</v>
      </c>
    </row>
    <row r="851" spans="1:9" x14ac:dyDescent="0.2">
      <c r="A851">
        <v>840</v>
      </c>
      <c r="B851">
        <v>1849200</v>
      </c>
      <c r="C851">
        <v>0</v>
      </c>
      <c r="D851" s="1">
        <v>15800</v>
      </c>
      <c r="E851">
        <v>0</v>
      </c>
      <c r="F851" s="1">
        <v>134277.14000000001</v>
      </c>
      <c r="G851" s="1">
        <v>49025000</v>
      </c>
      <c r="H851" s="1">
        <v>31048157.390000001</v>
      </c>
      <c r="I851" s="59">
        <f>SUM(D763:D851)/1000</f>
        <v>40181.650860000009</v>
      </c>
    </row>
    <row r="852" spans="1:9" x14ac:dyDescent="0.2">
      <c r="A852">
        <v>860</v>
      </c>
      <c r="B852">
        <v>1995000</v>
      </c>
      <c r="C852">
        <v>0</v>
      </c>
      <c r="D852" s="1">
        <v>49159277.140000001</v>
      </c>
      <c r="E852">
        <v>0</v>
      </c>
      <c r="F852" s="1">
        <v>27037254.32</v>
      </c>
      <c r="G852">
        <v>0</v>
      </c>
      <c r="H852" s="1">
        <v>25102004.050000001</v>
      </c>
      <c r="I852" s="59">
        <f>D852/1000</f>
        <v>49159.277139999998</v>
      </c>
    </row>
    <row r="853" spans="1:9" x14ac:dyDescent="0.2">
      <c r="A853">
        <v>930</v>
      </c>
      <c r="B853">
        <v>1729999</v>
      </c>
      <c r="C853">
        <v>0</v>
      </c>
      <c r="D853" s="1">
        <v>36771</v>
      </c>
      <c r="E853" s="1">
        <v>27851892.09</v>
      </c>
      <c r="F853">
        <v>0</v>
      </c>
      <c r="G853" s="1">
        <v>28073000</v>
      </c>
      <c r="H853" s="1">
        <v>35148.5</v>
      </c>
      <c r="I853" s="59" t="s">
        <v>2</v>
      </c>
    </row>
    <row r="854" spans="1:9" x14ac:dyDescent="0.2">
      <c r="A854">
        <v>932</v>
      </c>
      <c r="B854">
        <v>1729999</v>
      </c>
      <c r="C854">
        <v>0</v>
      </c>
      <c r="D854" s="1">
        <v>558143.63</v>
      </c>
      <c r="E854">
        <v>0</v>
      </c>
      <c r="F854" s="1">
        <v>1310007.8</v>
      </c>
      <c r="G854">
        <v>0</v>
      </c>
      <c r="H854" s="1">
        <v>2381386.33</v>
      </c>
      <c r="I854" s="59" t="s">
        <v>2</v>
      </c>
    </row>
    <row r="855" spans="1:9" x14ac:dyDescent="0.2">
      <c r="A855">
        <v>933</v>
      </c>
      <c r="B855">
        <v>1729999</v>
      </c>
      <c r="C855">
        <v>0</v>
      </c>
      <c r="D855" s="1">
        <v>94200</v>
      </c>
      <c r="E855">
        <v>0</v>
      </c>
      <c r="F855" s="1">
        <v>150166.29999999999</v>
      </c>
      <c r="G855">
        <v>0</v>
      </c>
      <c r="H855" s="1">
        <v>117951.42</v>
      </c>
      <c r="I855" s="59" t="s">
        <v>2</v>
      </c>
    </row>
    <row r="856" spans="1:9" x14ac:dyDescent="0.2">
      <c r="A856">
        <v>934</v>
      </c>
      <c r="B856">
        <v>1729999</v>
      </c>
      <c r="C856">
        <v>0</v>
      </c>
      <c r="D856" s="1">
        <v>140000</v>
      </c>
      <c r="E856" s="1">
        <v>47000</v>
      </c>
      <c r="F856">
        <v>0</v>
      </c>
      <c r="G856" s="1">
        <v>47000</v>
      </c>
      <c r="H856">
        <v>0</v>
      </c>
      <c r="I856" s="59">
        <f>SUM(D853:D856)/1000</f>
        <v>829.11463000000003</v>
      </c>
    </row>
    <row r="857" spans="1:9" x14ac:dyDescent="0.2">
      <c r="A857">
        <v>980</v>
      </c>
      <c r="B857">
        <v>1994000</v>
      </c>
      <c r="C857">
        <v>0</v>
      </c>
      <c r="D857" s="1">
        <v>860693.57</v>
      </c>
      <c r="E857">
        <v>0</v>
      </c>
      <c r="F857" s="1">
        <v>23575.53</v>
      </c>
      <c r="G857">
        <v>0</v>
      </c>
      <c r="H857" s="1">
        <v>178435.65</v>
      </c>
      <c r="I857" s="59">
        <f>D857/1000</f>
        <v>860.69356999999991</v>
      </c>
    </row>
    <row r="858" spans="1:9" x14ac:dyDescent="0.2">
      <c r="D858" s="1">
        <f>SUM(D249:D857)</f>
        <v>360618575.94999987</v>
      </c>
      <c r="E858" s="1">
        <f t="shared" ref="E858:I858" si="0">SUM(E249:E857)</f>
        <v>46446808.540000007</v>
      </c>
      <c r="F858" s="1">
        <f t="shared" si="0"/>
        <v>58643701.130000003</v>
      </c>
      <c r="G858" s="1">
        <f t="shared" si="0"/>
        <v>311170000</v>
      </c>
      <c r="H858" s="1">
        <f t="shared" si="0"/>
        <v>311123079.30000013</v>
      </c>
      <c r="I858" s="59">
        <f t="shared" si="0"/>
        <v>360618.26180000004</v>
      </c>
    </row>
    <row r="860" spans="1:9" x14ac:dyDescent="0.2">
      <c r="D860" s="1">
        <f>D247-D858</f>
        <v>842281.96000003815</v>
      </c>
    </row>
  </sheetData>
  <sheetProtection password="CC6B" sheet="1" objects="1" scenarios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7"/>
  <dimension ref="A1:I1244"/>
  <sheetViews>
    <sheetView rightToLeft="1" topLeftCell="A366" workbookViewId="0">
      <selection activeCell="C383" sqref="C383"/>
    </sheetView>
  </sheetViews>
  <sheetFormatPr defaultColWidth="8.375" defaultRowHeight="15" outlineLevelRow="2" x14ac:dyDescent="0.2"/>
  <cols>
    <col min="1" max="1" width="15.125" style="42" bestFit="1" customWidth="1"/>
    <col min="2" max="2" width="9" style="42" bestFit="1" customWidth="1"/>
    <col min="3" max="3" width="17.625" style="44" customWidth="1"/>
    <col min="4" max="4" width="13.875" style="44" customWidth="1"/>
    <col min="5" max="5" width="8.375" style="42"/>
    <col min="6" max="6" width="17.375" style="67" bestFit="1" customWidth="1"/>
    <col min="7" max="7" width="8.375" style="42"/>
    <col min="8" max="8" width="6.125" style="42" customWidth="1"/>
    <col min="9" max="16384" width="8.375" style="42"/>
  </cols>
  <sheetData>
    <row r="1" spans="1:8" x14ac:dyDescent="0.2">
      <c r="A1" s="40" t="s">
        <v>723</v>
      </c>
      <c r="B1" s="40" t="s">
        <v>724</v>
      </c>
      <c r="C1" s="41" t="s">
        <v>726</v>
      </c>
      <c r="D1" s="41" t="s">
        <v>725</v>
      </c>
      <c r="F1" s="66" t="s">
        <v>846</v>
      </c>
      <c r="H1" s="40" t="s">
        <v>727</v>
      </c>
    </row>
    <row r="2" spans="1:8" x14ac:dyDescent="0.2">
      <c r="A2" s="43">
        <v>611000</v>
      </c>
      <c r="B2" s="43">
        <v>202101</v>
      </c>
      <c r="C2" s="44">
        <v>175239.93</v>
      </c>
      <c r="D2" s="44">
        <v>3</v>
      </c>
      <c r="H2" s="45">
        <v>3</v>
      </c>
    </row>
    <row r="3" spans="1:8" x14ac:dyDescent="0.2">
      <c r="A3" s="43">
        <v>611000</v>
      </c>
      <c r="B3" s="43">
        <v>202102</v>
      </c>
      <c r="C3" s="44">
        <v>175239.92</v>
      </c>
      <c r="D3" s="44">
        <v>3</v>
      </c>
      <c r="H3" s="45">
        <v>3</v>
      </c>
    </row>
    <row r="4" spans="1:8" x14ac:dyDescent="0.2">
      <c r="A4" s="43">
        <v>611000</v>
      </c>
      <c r="B4" s="43">
        <v>202103</v>
      </c>
      <c r="C4" s="44">
        <v>186144.43</v>
      </c>
      <c r="D4" s="44">
        <v>3</v>
      </c>
      <c r="H4" s="45">
        <v>3</v>
      </c>
    </row>
    <row r="5" spans="1:8" x14ac:dyDescent="0.2">
      <c r="A5" s="43">
        <v>611000</v>
      </c>
      <c r="B5" s="43">
        <v>202104</v>
      </c>
      <c r="C5" s="44">
        <v>175319.16</v>
      </c>
      <c r="D5" s="44">
        <v>3</v>
      </c>
      <c r="H5" s="45">
        <v>3</v>
      </c>
    </row>
    <row r="6" spans="1:8" x14ac:dyDescent="0.2">
      <c r="A6" s="43">
        <v>611000</v>
      </c>
      <c r="B6" s="43">
        <v>202105</v>
      </c>
      <c r="C6" s="44">
        <v>184970.43</v>
      </c>
      <c r="D6" s="44">
        <v>3</v>
      </c>
      <c r="H6" s="45">
        <v>3</v>
      </c>
    </row>
    <row r="7" spans="1:8" x14ac:dyDescent="0.2">
      <c r="A7" s="43">
        <v>611000</v>
      </c>
      <c r="B7" s="43">
        <v>202106</v>
      </c>
      <c r="C7" s="44">
        <v>250792.63</v>
      </c>
      <c r="D7" s="44">
        <v>2.5</v>
      </c>
      <c r="H7" s="45">
        <v>3</v>
      </c>
    </row>
    <row r="8" spans="1:8" x14ac:dyDescent="0.2">
      <c r="A8" s="43">
        <v>611000</v>
      </c>
      <c r="B8" s="43">
        <v>202107</v>
      </c>
      <c r="C8" s="44">
        <v>133537.54</v>
      </c>
      <c r="D8" s="44">
        <v>2</v>
      </c>
      <c r="H8" s="45">
        <v>2</v>
      </c>
    </row>
    <row r="9" spans="1:8" x14ac:dyDescent="0.2">
      <c r="A9" s="43">
        <v>611000</v>
      </c>
      <c r="B9" s="43">
        <v>202108</v>
      </c>
      <c r="C9" s="44">
        <v>123613</v>
      </c>
      <c r="D9" s="44">
        <v>2</v>
      </c>
      <c r="H9" s="45">
        <v>2</v>
      </c>
    </row>
    <row r="10" spans="1:8" x14ac:dyDescent="0.2">
      <c r="A10" s="43">
        <v>611000</v>
      </c>
      <c r="B10" s="43">
        <v>202109</v>
      </c>
      <c r="C10" s="44">
        <v>123613</v>
      </c>
      <c r="D10" s="44">
        <v>2</v>
      </c>
      <c r="H10" s="45">
        <v>2</v>
      </c>
    </row>
    <row r="11" spans="1:8" x14ac:dyDescent="0.2">
      <c r="A11" s="43">
        <v>611000</v>
      </c>
      <c r="B11" s="43">
        <v>202110</v>
      </c>
      <c r="C11" s="44">
        <v>123613</v>
      </c>
      <c r="D11" s="44">
        <v>2</v>
      </c>
      <c r="H11" s="45">
        <v>2</v>
      </c>
    </row>
    <row r="12" spans="1:8" x14ac:dyDescent="0.2">
      <c r="A12" s="43">
        <v>611000</v>
      </c>
      <c r="B12" s="43">
        <v>202111</v>
      </c>
      <c r="C12" s="44">
        <v>123613</v>
      </c>
      <c r="D12" s="44">
        <v>2</v>
      </c>
      <c r="H12" s="45">
        <v>2</v>
      </c>
    </row>
    <row r="13" spans="1:8" x14ac:dyDescent="0.2">
      <c r="A13" s="43">
        <v>611000</v>
      </c>
      <c r="B13" s="43">
        <v>202112</v>
      </c>
      <c r="C13" s="44">
        <v>123613</v>
      </c>
      <c r="D13" s="44">
        <v>2</v>
      </c>
      <c r="F13" s="67" cm="1">
        <f t="array" ref="F13">SUM(D2:D13/12)</f>
        <v>2.458333333333333</v>
      </c>
      <c r="H13" s="45">
        <v>2</v>
      </c>
    </row>
    <row r="14" spans="1:8" x14ac:dyDescent="0.2">
      <c r="A14" s="46" t="s">
        <v>728</v>
      </c>
      <c r="B14" s="43"/>
      <c r="C14" s="47">
        <f>SUM(C2:C13)</f>
        <v>1899309.04</v>
      </c>
      <c r="H14" s="45"/>
    </row>
    <row r="15" spans="1:8" x14ac:dyDescent="0.2">
      <c r="A15" s="43">
        <v>611200</v>
      </c>
      <c r="B15" s="43">
        <v>202101</v>
      </c>
      <c r="C15" s="44">
        <v>138618.56</v>
      </c>
      <c r="D15" s="44">
        <v>8.5</v>
      </c>
      <c r="H15" s="45">
        <v>10</v>
      </c>
    </row>
    <row r="16" spans="1:8" x14ac:dyDescent="0.2">
      <c r="A16" s="43">
        <v>611200</v>
      </c>
      <c r="B16" s="43">
        <v>202102</v>
      </c>
      <c r="C16" s="44">
        <v>136387.16</v>
      </c>
      <c r="D16" s="44">
        <v>8.5</v>
      </c>
      <c r="H16" s="45">
        <v>9</v>
      </c>
    </row>
    <row r="17" spans="1:8" x14ac:dyDescent="0.2">
      <c r="A17" s="43">
        <v>611200</v>
      </c>
      <c r="B17" s="43">
        <v>202103</v>
      </c>
      <c r="C17" s="44">
        <v>155759.65</v>
      </c>
      <c r="D17" s="44">
        <v>8.5</v>
      </c>
      <c r="H17" s="45">
        <v>9</v>
      </c>
    </row>
    <row r="18" spans="1:8" x14ac:dyDescent="0.2">
      <c r="A18" s="43">
        <v>611200</v>
      </c>
      <c r="B18" s="43">
        <v>202104</v>
      </c>
      <c r="C18" s="44">
        <v>136532.03</v>
      </c>
      <c r="D18" s="44">
        <v>8.5</v>
      </c>
      <c r="H18" s="45">
        <v>10</v>
      </c>
    </row>
    <row r="19" spans="1:8" x14ac:dyDescent="0.2">
      <c r="A19" s="43">
        <v>611200</v>
      </c>
      <c r="B19" s="43">
        <v>202105</v>
      </c>
      <c r="C19" s="44">
        <v>156426.79</v>
      </c>
      <c r="D19" s="44">
        <v>8.5</v>
      </c>
      <c r="H19" s="45">
        <v>10</v>
      </c>
    </row>
    <row r="20" spans="1:8" x14ac:dyDescent="0.2">
      <c r="A20" s="43">
        <v>611200</v>
      </c>
      <c r="B20" s="43">
        <v>202106</v>
      </c>
      <c r="C20" s="44">
        <v>199666.86</v>
      </c>
      <c r="D20" s="44">
        <v>7.4660000000000002</v>
      </c>
      <c r="H20" s="45">
        <v>9</v>
      </c>
    </row>
    <row r="21" spans="1:8" x14ac:dyDescent="0.2">
      <c r="A21" s="43">
        <v>611200</v>
      </c>
      <c r="B21" s="43">
        <v>202107</v>
      </c>
      <c r="C21" s="44">
        <v>134031.48000000001</v>
      </c>
      <c r="D21" s="44">
        <v>6.5</v>
      </c>
      <c r="H21" s="45">
        <v>8</v>
      </c>
    </row>
    <row r="22" spans="1:8" x14ac:dyDescent="0.2">
      <c r="A22" s="43">
        <v>611200</v>
      </c>
      <c r="B22" s="43">
        <v>202108</v>
      </c>
      <c r="C22" s="44">
        <f>134031.48+9250</f>
        <v>143281.48000000001</v>
      </c>
      <c r="D22" s="44">
        <v>6.5</v>
      </c>
      <c r="H22" s="45">
        <v>7</v>
      </c>
    </row>
    <row r="23" spans="1:8" x14ac:dyDescent="0.2">
      <c r="A23" s="43">
        <v>611200</v>
      </c>
      <c r="B23" s="43">
        <v>202109</v>
      </c>
      <c r="C23" s="44">
        <f>134031.48+2350</f>
        <v>136381.48000000001</v>
      </c>
      <c r="D23" s="44">
        <v>6.5</v>
      </c>
      <c r="H23" s="45">
        <v>7</v>
      </c>
    </row>
    <row r="24" spans="1:8" x14ac:dyDescent="0.2">
      <c r="A24" s="43">
        <v>611200</v>
      </c>
      <c r="B24" s="43">
        <v>202110</v>
      </c>
      <c r="C24" s="44">
        <f>C23+18130+2350</f>
        <v>156861.48000000001</v>
      </c>
      <c r="D24" s="44">
        <v>7.5</v>
      </c>
      <c r="E24" s="48" t="s">
        <v>729</v>
      </c>
      <c r="H24" s="45">
        <v>8</v>
      </c>
    </row>
    <row r="25" spans="1:8" x14ac:dyDescent="0.2">
      <c r="A25" s="43">
        <v>611200</v>
      </c>
      <c r="B25" s="43">
        <v>202111</v>
      </c>
      <c r="C25" s="44">
        <f t="shared" ref="C25:C26" si="0">C24+18130+2350</f>
        <v>177341.48</v>
      </c>
      <c r="D25" s="44">
        <v>7.5</v>
      </c>
      <c r="H25" s="45">
        <v>8</v>
      </c>
    </row>
    <row r="26" spans="1:8" x14ac:dyDescent="0.2">
      <c r="A26" s="43">
        <v>611200</v>
      </c>
      <c r="B26" s="43">
        <v>202112</v>
      </c>
      <c r="C26" s="44">
        <f t="shared" si="0"/>
        <v>197821.48</v>
      </c>
      <c r="D26" s="44">
        <v>7.5</v>
      </c>
      <c r="F26" s="67" cm="1">
        <f t="array" ref="F26">SUM(D15:D26/12)</f>
        <v>7.6638333333333346</v>
      </c>
      <c r="H26" s="45">
        <v>8</v>
      </c>
    </row>
    <row r="27" spans="1:8" x14ac:dyDescent="0.2">
      <c r="A27" s="46" t="s">
        <v>730</v>
      </c>
      <c r="B27" s="43"/>
      <c r="C27" s="47">
        <f>SUM(C15:C26)</f>
        <v>1869109.93</v>
      </c>
      <c r="H27" s="45"/>
    </row>
    <row r="28" spans="1:8" x14ac:dyDescent="0.2">
      <c r="A28" s="43">
        <v>612000</v>
      </c>
      <c r="B28" s="43">
        <v>202101</v>
      </c>
      <c r="C28" s="44">
        <v>52190.41</v>
      </c>
      <c r="D28" s="44">
        <v>1</v>
      </c>
      <c r="H28" s="45">
        <v>1</v>
      </c>
    </row>
    <row r="29" spans="1:8" x14ac:dyDescent="0.2">
      <c r="A29" s="43">
        <v>612000</v>
      </c>
      <c r="B29" s="43">
        <v>202102</v>
      </c>
      <c r="C29" s="44">
        <v>52190.41</v>
      </c>
      <c r="D29" s="44">
        <v>1</v>
      </c>
      <c r="H29" s="45">
        <v>1</v>
      </c>
    </row>
    <row r="30" spans="1:8" x14ac:dyDescent="0.2">
      <c r="A30" s="43">
        <v>612000</v>
      </c>
      <c r="B30" s="43">
        <v>202103</v>
      </c>
      <c r="C30" s="44">
        <v>52157.19</v>
      </c>
      <c r="D30" s="44">
        <v>1</v>
      </c>
      <c r="H30" s="45">
        <v>1</v>
      </c>
    </row>
    <row r="31" spans="1:8" x14ac:dyDescent="0.2">
      <c r="A31" s="43">
        <v>612000</v>
      </c>
      <c r="B31" s="43">
        <v>202104</v>
      </c>
      <c r="C31" s="44">
        <v>52157.17</v>
      </c>
      <c r="D31" s="44">
        <v>1</v>
      </c>
      <c r="H31" s="45">
        <v>1</v>
      </c>
    </row>
    <row r="32" spans="1:8" x14ac:dyDescent="0.2">
      <c r="A32" s="43">
        <v>612000</v>
      </c>
      <c r="B32" s="43">
        <v>202105</v>
      </c>
      <c r="C32" s="44">
        <v>52155.66</v>
      </c>
      <c r="D32" s="44">
        <v>1</v>
      </c>
      <c r="H32" s="45">
        <v>1</v>
      </c>
    </row>
    <row r="33" spans="1:8" x14ac:dyDescent="0.2">
      <c r="A33" s="43">
        <v>612000</v>
      </c>
      <c r="B33" s="43">
        <v>202106</v>
      </c>
      <c r="C33" s="44">
        <v>56058.05</v>
      </c>
      <c r="D33" s="44">
        <v>1</v>
      </c>
      <c r="H33" s="45">
        <v>1</v>
      </c>
    </row>
    <row r="34" spans="1:8" x14ac:dyDescent="0.2">
      <c r="A34" s="43">
        <v>612000</v>
      </c>
      <c r="B34" s="43">
        <v>202107</v>
      </c>
      <c r="C34" s="44">
        <v>53386.82</v>
      </c>
      <c r="D34" s="44">
        <v>1</v>
      </c>
      <c r="H34" s="45">
        <v>1</v>
      </c>
    </row>
    <row r="35" spans="1:8" x14ac:dyDescent="0.2">
      <c r="A35" s="43">
        <v>612000</v>
      </c>
      <c r="B35" s="43">
        <v>202108</v>
      </c>
      <c r="C35" s="44">
        <v>52157</v>
      </c>
      <c r="D35" s="44">
        <v>1</v>
      </c>
      <c r="H35" s="45">
        <v>1</v>
      </c>
    </row>
    <row r="36" spans="1:8" x14ac:dyDescent="0.2">
      <c r="A36" s="43">
        <v>612000</v>
      </c>
      <c r="B36" s="43">
        <v>202109</v>
      </c>
      <c r="C36" s="44">
        <v>52157</v>
      </c>
      <c r="D36" s="44">
        <v>1</v>
      </c>
      <c r="H36" s="45">
        <v>1</v>
      </c>
    </row>
    <row r="37" spans="1:8" x14ac:dyDescent="0.2">
      <c r="A37" s="43">
        <v>612000</v>
      </c>
      <c r="B37" s="43">
        <v>202110</v>
      </c>
      <c r="C37" s="44">
        <v>52157</v>
      </c>
      <c r="D37" s="44">
        <v>1</v>
      </c>
      <c r="H37" s="45">
        <v>1</v>
      </c>
    </row>
    <row r="38" spans="1:8" x14ac:dyDescent="0.2">
      <c r="A38" s="43">
        <v>612000</v>
      </c>
      <c r="B38" s="43">
        <v>202111</v>
      </c>
      <c r="C38" s="44">
        <v>52157</v>
      </c>
      <c r="D38" s="44">
        <v>1</v>
      </c>
      <c r="H38" s="45">
        <v>1</v>
      </c>
    </row>
    <row r="39" spans="1:8" x14ac:dyDescent="0.2">
      <c r="A39" s="43">
        <v>612000</v>
      </c>
      <c r="B39" s="43">
        <v>202112</v>
      </c>
      <c r="C39" s="44">
        <v>52157</v>
      </c>
      <c r="D39" s="44">
        <v>1</v>
      </c>
      <c r="F39" s="67" cm="1">
        <f t="array" ref="F39">SUM(D28:D39/12)</f>
        <v>1</v>
      </c>
      <c r="H39" s="45">
        <v>1</v>
      </c>
    </row>
    <row r="40" spans="1:8" x14ac:dyDescent="0.2">
      <c r="A40" s="46" t="s">
        <v>731</v>
      </c>
      <c r="B40" s="43"/>
      <c r="C40" s="47">
        <f>SUM(C28:C39)</f>
        <v>631080.71</v>
      </c>
      <c r="H40" s="45"/>
    </row>
    <row r="41" spans="1:8" x14ac:dyDescent="0.2">
      <c r="A41" s="43">
        <v>613000</v>
      </c>
      <c r="B41" s="43">
        <v>202101</v>
      </c>
      <c r="C41" s="44">
        <v>224029.33</v>
      </c>
      <c r="D41" s="44">
        <v>12.45</v>
      </c>
      <c r="H41" s="45">
        <v>18</v>
      </c>
    </row>
    <row r="42" spans="1:8" x14ac:dyDescent="0.2">
      <c r="A42" s="43">
        <v>613000</v>
      </c>
      <c r="B42" s="43">
        <v>202102</v>
      </c>
      <c r="C42" s="44">
        <v>218883.71</v>
      </c>
      <c r="D42" s="44">
        <v>12.45</v>
      </c>
      <c r="H42" s="45">
        <v>17</v>
      </c>
    </row>
    <row r="43" spans="1:8" x14ac:dyDescent="0.2">
      <c r="A43" s="43">
        <v>613000</v>
      </c>
      <c r="B43" s="43">
        <v>202103</v>
      </c>
      <c r="C43" s="44">
        <v>235605.31</v>
      </c>
      <c r="D43" s="44">
        <v>13.433</v>
      </c>
      <c r="H43" s="45">
        <v>18</v>
      </c>
    </row>
    <row r="44" spans="1:8" x14ac:dyDescent="0.2">
      <c r="A44" s="43">
        <v>613000</v>
      </c>
      <c r="B44" s="43">
        <v>202104</v>
      </c>
      <c r="C44" s="44">
        <v>231497.43</v>
      </c>
      <c r="D44" s="44">
        <v>13.95</v>
      </c>
      <c r="H44" s="45">
        <v>17</v>
      </c>
    </row>
    <row r="45" spans="1:8" x14ac:dyDescent="0.2">
      <c r="A45" s="43">
        <v>613000</v>
      </c>
      <c r="B45" s="43">
        <v>202105</v>
      </c>
      <c r="C45" s="44">
        <v>230498.77</v>
      </c>
      <c r="D45" s="44">
        <v>13.95</v>
      </c>
      <c r="H45" s="45">
        <v>17</v>
      </c>
    </row>
    <row r="46" spans="1:8" x14ac:dyDescent="0.2">
      <c r="A46" s="43">
        <v>613000</v>
      </c>
      <c r="B46" s="43">
        <v>202106</v>
      </c>
      <c r="C46" s="44">
        <v>316192.34999999998</v>
      </c>
      <c r="D46" s="44">
        <v>13.95</v>
      </c>
      <c r="H46" s="45">
        <v>18</v>
      </c>
    </row>
    <row r="47" spans="1:8" x14ac:dyDescent="0.2">
      <c r="A47" s="43">
        <v>613000</v>
      </c>
      <c r="B47" s="43">
        <v>202107</v>
      </c>
      <c r="C47" s="44">
        <v>275095.5</v>
      </c>
      <c r="D47" s="44">
        <v>12.95</v>
      </c>
      <c r="H47" s="45">
        <v>15</v>
      </c>
    </row>
    <row r="48" spans="1:8" x14ac:dyDescent="0.2">
      <c r="A48" s="43">
        <v>613000</v>
      </c>
      <c r="B48" s="43">
        <v>202108</v>
      </c>
      <c r="C48" s="44">
        <v>285000.5</v>
      </c>
      <c r="D48" s="44">
        <v>12.95</v>
      </c>
      <c r="H48" s="45">
        <v>15</v>
      </c>
    </row>
    <row r="49" spans="1:8" x14ac:dyDescent="0.2">
      <c r="A49" s="43">
        <v>613000</v>
      </c>
      <c r="B49" s="43">
        <v>202109</v>
      </c>
      <c r="C49" s="44">
        <f>285000.5+12000</f>
        <v>297000.5</v>
      </c>
      <c r="D49" s="44">
        <v>12.95</v>
      </c>
      <c r="H49" s="45">
        <v>15</v>
      </c>
    </row>
    <row r="50" spans="1:8" x14ac:dyDescent="0.2">
      <c r="A50" s="43">
        <v>613000</v>
      </c>
      <c r="B50" s="43">
        <v>202110</v>
      </c>
      <c r="C50" s="44">
        <v>285000.5</v>
      </c>
      <c r="D50" s="44">
        <v>12.95</v>
      </c>
      <c r="H50" s="45">
        <v>15</v>
      </c>
    </row>
    <row r="51" spans="1:8" x14ac:dyDescent="0.2">
      <c r="A51" s="43">
        <v>613000</v>
      </c>
      <c r="B51" s="43">
        <v>202111</v>
      </c>
      <c r="C51" s="44">
        <v>285000.5</v>
      </c>
      <c r="D51" s="44">
        <v>12.95</v>
      </c>
      <c r="H51" s="45">
        <v>15</v>
      </c>
    </row>
    <row r="52" spans="1:8" x14ac:dyDescent="0.2">
      <c r="A52" s="43">
        <v>613000</v>
      </c>
      <c r="B52" s="43">
        <v>202112</v>
      </c>
      <c r="C52" s="44">
        <v>285000.5</v>
      </c>
      <c r="D52" s="44">
        <v>12.95</v>
      </c>
      <c r="F52" s="67" cm="1">
        <f t="array" ref="F52">SUM(D41:D52/12)</f>
        <v>13.15691666666666</v>
      </c>
      <c r="H52" s="45">
        <v>15</v>
      </c>
    </row>
    <row r="53" spans="1:8" x14ac:dyDescent="0.2">
      <c r="A53" s="46" t="s">
        <v>732</v>
      </c>
      <c r="B53" s="43"/>
      <c r="C53" s="47">
        <f>SUM(C41:C52)</f>
        <v>3168804.9</v>
      </c>
      <c r="H53" s="45"/>
    </row>
    <row r="54" spans="1:8" x14ac:dyDescent="0.2">
      <c r="A54" s="43">
        <v>613300</v>
      </c>
      <c r="B54" s="43">
        <v>202101</v>
      </c>
      <c r="C54" s="44">
        <v>44255.8</v>
      </c>
      <c r="D54" s="44">
        <v>4.8</v>
      </c>
      <c r="H54" s="45">
        <v>5</v>
      </c>
    </row>
    <row r="55" spans="1:8" x14ac:dyDescent="0.2">
      <c r="A55" s="43">
        <v>613300</v>
      </c>
      <c r="B55" s="43">
        <v>202102</v>
      </c>
      <c r="C55" s="44">
        <v>49717.52</v>
      </c>
      <c r="D55" s="44">
        <v>4.8</v>
      </c>
      <c r="H55" s="45">
        <v>5</v>
      </c>
    </row>
    <row r="56" spans="1:8" x14ac:dyDescent="0.2">
      <c r="A56" s="43">
        <v>613300</v>
      </c>
      <c r="B56" s="43">
        <v>202103</v>
      </c>
      <c r="C56" s="44">
        <v>37646.300000000003</v>
      </c>
      <c r="D56" s="44">
        <v>4</v>
      </c>
      <c r="H56" s="45">
        <v>4</v>
      </c>
    </row>
    <row r="57" spans="1:8" x14ac:dyDescent="0.2">
      <c r="A57" s="43">
        <v>613300</v>
      </c>
      <c r="B57" s="43">
        <v>202104</v>
      </c>
      <c r="C57" s="44">
        <v>37400.29</v>
      </c>
      <c r="D57" s="44">
        <v>4</v>
      </c>
      <c r="H57" s="45">
        <v>4</v>
      </c>
    </row>
    <row r="58" spans="1:8" x14ac:dyDescent="0.2">
      <c r="A58" s="43">
        <v>613300</v>
      </c>
      <c r="B58" s="43">
        <v>202105</v>
      </c>
      <c r="C58" s="44">
        <v>39185.64</v>
      </c>
      <c r="D58" s="44">
        <v>4</v>
      </c>
      <c r="H58" s="45">
        <v>4</v>
      </c>
    </row>
    <row r="59" spans="1:8" x14ac:dyDescent="0.2">
      <c r="A59" s="43">
        <v>613300</v>
      </c>
      <c r="B59" s="43">
        <v>202106</v>
      </c>
      <c r="C59" s="44">
        <v>59591.56</v>
      </c>
      <c r="D59" s="44">
        <v>4</v>
      </c>
      <c r="H59" s="45">
        <v>4</v>
      </c>
    </row>
    <row r="60" spans="1:8" x14ac:dyDescent="0.2">
      <c r="A60" s="43">
        <v>613300</v>
      </c>
      <c r="B60" s="43">
        <v>202107</v>
      </c>
      <c r="C60" s="44">
        <v>42545.919999999998</v>
      </c>
      <c r="D60" s="44">
        <v>4</v>
      </c>
      <c r="H60" s="45">
        <v>4</v>
      </c>
    </row>
    <row r="61" spans="1:8" x14ac:dyDescent="0.2">
      <c r="A61" s="43">
        <v>613300</v>
      </c>
      <c r="B61" s="43">
        <v>202108</v>
      </c>
      <c r="C61" s="44">
        <v>42545.919999999998</v>
      </c>
      <c r="D61" s="44">
        <v>4</v>
      </c>
      <c r="H61" s="45">
        <v>4</v>
      </c>
    </row>
    <row r="62" spans="1:8" x14ac:dyDescent="0.2">
      <c r="A62" s="43">
        <v>613300</v>
      </c>
      <c r="B62" s="43">
        <v>202109</v>
      </c>
      <c r="C62" s="44">
        <v>42545.919999999998</v>
      </c>
      <c r="D62" s="44">
        <v>4</v>
      </c>
      <c r="H62" s="45">
        <v>4</v>
      </c>
    </row>
    <row r="63" spans="1:8" x14ac:dyDescent="0.2">
      <c r="A63" s="43">
        <v>613300</v>
      </c>
      <c r="B63" s="43">
        <v>202110</v>
      </c>
      <c r="C63" s="44">
        <v>42545.919999999998</v>
      </c>
      <c r="D63" s="44">
        <v>4</v>
      </c>
      <c r="H63" s="45">
        <v>4</v>
      </c>
    </row>
    <row r="64" spans="1:8" x14ac:dyDescent="0.2">
      <c r="A64" s="43">
        <v>613300</v>
      </c>
      <c r="B64" s="43">
        <v>202111</v>
      </c>
      <c r="C64" s="44">
        <v>42545.919999999998</v>
      </c>
      <c r="D64" s="44">
        <v>4</v>
      </c>
      <c r="H64" s="45">
        <v>4</v>
      </c>
    </row>
    <row r="65" spans="1:8" x14ac:dyDescent="0.2">
      <c r="A65" s="43">
        <v>613300</v>
      </c>
      <c r="B65" s="43">
        <v>202112</v>
      </c>
      <c r="C65" s="44">
        <v>42545.919999999998</v>
      </c>
      <c r="D65" s="44">
        <v>4</v>
      </c>
      <c r="F65" s="67" cm="1">
        <f t="array" ref="F65">SUM(D54:D65/12)</f>
        <v>4.1333333333333337</v>
      </c>
      <c r="H65" s="45">
        <v>4</v>
      </c>
    </row>
    <row r="66" spans="1:8" x14ac:dyDescent="0.2">
      <c r="A66" s="46" t="s">
        <v>733</v>
      </c>
      <c r="B66" s="43"/>
      <c r="C66" s="47">
        <f>SUM(C54:C65)</f>
        <v>523072.62999999989</v>
      </c>
      <c r="H66" s="45"/>
    </row>
    <row r="67" spans="1:8" x14ac:dyDescent="0.2">
      <c r="A67" s="43">
        <v>614000</v>
      </c>
      <c r="B67" s="43">
        <v>202101</v>
      </c>
      <c r="C67" s="44">
        <v>47442.36</v>
      </c>
      <c r="D67" s="44">
        <v>2</v>
      </c>
      <c r="H67" s="45">
        <v>2</v>
      </c>
    </row>
    <row r="68" spans="1:8" x14ac:dyDescent="0.2">
      <c r="A68" s="43">
        <v>614000</v>
      </c>
      <c r="B68" s="43">
        <v>202102</v>
      </c>
      <c r="C68" s="44">
        <v>50013.9</v>
      </c>
      <c r="D68" s="44">
        <v>2</v>
      </c>
      <c r="H68" s="45">
        <v>2</v>
      </c>
    </row>
    <row r="69" spans="1:8" x14ac:dyDescent="0.2">
      <c r="A69" s="43">
        <v>614000</v>
      </c>
      <c r="B69" s="43">
        <v>202103</v>
      </c>
      <c r="C69" s="44">
        <v>54855.03</v>
      </c>
      <c r="D69" s="44">
        <v>2</v>
      </c>
      <c r="H69" s="45">
        <v>2</v>
      </c>
    </row>
    <row r="70" spans="1:8" x14ac:dyDescent="0.2">
      <c r="A70" s="43">
        <v>614000</v>
      </c>
      <c r="B70" s="43">
        <v>202104</v>
      </c>
      <c r="C70" s="44">
        <v>50861.37</v>
      </c>
      <c r="D70" s="44">
        <v>2</v>
      </c>
      <c r="H70" s="45">
        <v>2</v>
      </c>
    </row>
    <row r="71" spans="1:8" x14ac:dyDescent="0.2">
      <c r="A71" s="43">
        <v>614000</v>
      </c>
      <c r="B71" s="43">
        <v>202105</v>
      </c>
      <c r="C71" s="44">
        <v>52386.79</v>
      </c>
      <c r="D71" s="44">
        <v>2</v>
      </c>
      <c r="H71" s="45">
        <v>2</v>
      </c>
    </row>
    <row r="72" spans="1:8" x14ac:dyDescent="0.2">
      <c r="A72" s="43">
        <v>614000</v>
      </c>
      <c r="B72" s="43">
        <v>202106</v>
      </c>
      <c r="C72" s="44">
        <v>65650.789999999994</v>
      </c>
      <c r="D72" s="44">
        <v>2</v>
      </c>
      <c r="H72" s="45">
        <v>2</v>
      </c>
    </row>
    <row r="73" spans="1:8" x14ac:dyDescent="0.2">
      <c r="A73" s="43">
        <v>614000</v>
      </c>
      <c r="B73" s="43">
        <v>202107</v>
      </c>
      <c r="C73" s="44">
        <v>58927.199999999997</v>
      </c>
      <c r="D73" s="44">
        <v>2</v>
      </c>
      <c r="H73" s="45">
        <v>2</v>
      </c>
    </row>
    <row r="74" spans="1:8" x14ac:dyDescent="0.2">
      <c r="A74" s="43">
        <v>614000</v>
      </c>
      <c r="B74" s="43">
        <v>202108</v>
      </c>
      <c r="C74" s="44">
        <v>52500</v>
      </c>
      <c r="D74" s="44">
        <v>2</v>
      </c>
      <c r="H74" s="45">
        <v>2</v>
      </c>
    </row>
    <row r="75" spans="1:8" x14ac:dyDescent="0.2">
      <c r="A75" s="43">
        <v>614000</v>
      </c>
      <c r="B75" s="43">
        <v>202109</v>
      </c>
      <c r="C75" s="44">
        <v>52500</v>
      </c>
      <c r="D75" s="44">
        <v>2</v>
      </c>
      <c r="H75" s="45">
        <v>2</v>
      </c>
    </row>
    <row r="76" spans="1:8" x14ac:dyDescent="0.2">
      <c r="A76" s="43">
        <v>614000</v>
      </c>
      <c r="B76" s="43">
        <v>202110</v>
      </c>
      <c r="C76" s="44">
        <v>52500</v>
      </c>
      <c r="D76" s="44">
        <v>2</v>
      </c>
      <c r="H76" s="45">
        <v>2</v>
      </c>
    </row>
    <row r="77" spans="1:8" x14ac:dyDescent="0.2">
      <c r="A77" s="43">
        <v>614000</v>
      </c>
      <c r="B77" s="43">
        <v>202111</v>
      </c>
      <c r="C77" s="44">
        <v>52500</v>
      </c>
      <c r="D77" s="44">
        <v>2</v>
      </c>
      <c r="H77" s="45">
        <v>2</v>
      </c>
    </row>
    <row r="78" spans="1:8" x14ac:dyDescent="0.2">
      <c r="A78" s="43">
        <v>614000</v>
      </c>
      <c r="B78" s="43">
        <v>202112</v>
      </c>
      <c r="C78" s="44">
        <v>52500</v>
      </c>
      <c r="D78" s="44">
        <v>2</v>
      </c>
      <c r="F78" s="67" cm="1">
        <f t="array" ref="F78">SUM(D67:D78/12)</f>
        <v>2</v>
      </c>
      <c r="H78" s="45">
        <v>2</v>
      </c>
    </row>
    <row r="79" spans="1:8" x14ac:dyDescent="0.2">
      <c r="A79" s="46" t="s">
        <v>734</v>
      </c>
      <c r="B79" s="43"/>
      <c r="C79" s="47">
        <f>SUM(C67:C78)</f>
        <v>642637.43999999994</v>
      </c>
      <c r="H79" s="45"/>
    </row>
    <row r="80" spans="1:8" x14ac:dyDescent="0.2">
      <c r="A80" s="43">
        <v>615000</v>
      </c>
      <c r="B80" s="43">
        <v>202101</v>
      </c>
      <c r="C80" s="44">
        <v>79633.59</v>
      </c>
      <c r="D80" s="44">
        <v>4.5999999999999996</v>
      </c>
      <c r="H80" s="45">
        <v>6</v>
      </c>
    </row>
    <row r="81" spans="1:8" x14ac:dyDescent="0.2">
      <c r="A81" s="43">
        <v>615000</v>
      </c>
      <c r="B81" s="43">
        <v>202102</v>
      </c>
      <c r="C81" s="44">
        <v>78332.23</v>
      </c>
      <c r="D81" s="44">
        <v>4.5999999999999996</v>
      </c>
      <c r="H81" s="45">
        <v>6</v>
      </c>
    </row>
    <row r="82" spans="1:8" x14ac:dyDescent="0.2">
      <c r="A82" s="43">
        <v>615000</v>
      </c>
      <c r="B82" s="43">
        <v>202103</v>
      </c>
      <c r="C82" s="44">
        <v>82088.850000000006</v>
      </c>
      <c r="D82" s="44">
        <v>4.5999999999999996</v>
      </c>
      <c r="H82" s="45">
        <v>6</v>
      </c>
    </row>
    <row r="83" spans="1:8" x14ac:dyDescent="0.2">
      <c r="A83" s="43">
        <v>615000</v>
      </c>
      <c r="B83" s="43">
        <v>202104</v>
      </c>
      <c r="C83" s="44">
        <v>87460.37</v>
      </c>
      <c r="D83" s="44">
        <v>4.5999999999999996</v>
      </c>
      <c r="H83" s="45">
        <v>6</v>
      </c>
    </row>
    <row r="84" spans="1:8" x14ac:dyDescent="0.2">
      <c r="A84" s="43">
        <v>615000</v>
      </c>
      <c r="B84" s="43">
        <v>202105</v>
      </c>
      <c r="C84" s="44">
        <v>85846.82</v>
      </c>
      <c r="D84" s="44">
        <v>4.5999999999999996</v>
      </c>
      <c r="H84" s="45">
        <v>6</v>
      </c>
    </row>
    <row r="85" spans="1:8" x14ac:dyDescent="0.2">
      <c r="A85" s="43">
        <v>615000</v>
      </c>
      <c r="B85" s="43">
        <v>202106</v>
      </c>
      <c r="C85" s="44">
        <v>118267.72</v>
      </c>
      <c r="D85" s="44">
        <v>4.5999999999999996</v>
      </c>
      <c r="H85" s="45">
        <v>6</v>
      </c>
    </row>
    <row r="86" spans="1:8" x14ac:dyDescent="0.2">
      <c r="A86" s="43">
        <v>615000</v>
      </c>
      <c r="B86" s="43">
        <v>202107</v>
      </c>
      <c r="C86" s="44">
        <v>85500</v>
      </c>
      <c r="D86" s="44">
        <v>4.5999999999999996</v>
      </c>
      <c r="H86" s="45">
        <v>5</v>
      </c>
    </row>
    <row r="87" spans="1:8" x14ac:dyDescent="0.2">
      <c r="A87" s="43">
        <v>615000</v>
      </c>
      <c r="B87" s="43">
        <v>202108</v>
      </c>
      <c r="C87" s="44">
        <v>85500</v>
      </c>
      <c r="D87" s="44">
        <v>4.5999999999999996</v>
      </c>
      <c r="H87" s="45">
        <v>5</v>
      </c>
    </row>
    <row r="88" spans="1:8" x14ac:dyDescent="0.2">
      <c r="A88" s="43">
        <v>615000</v>
      </c>
      <c r="B88" s="43">
        <v>202109</v>
      </c>
      <c r="C88" s="44">
        <f>85500+6000</f>
        <v>91500</v>
      </c>
      <c r="D88" s="44">
        <v>4.5999999999999996</v>
      </c>
      <c r="H88" s="45">
        <v>5</v>
      </c>
    </row>
    <row r="89" spans="1:8" x14ac:dyDescent="0.2">
      <c r="A89" s="43">
        <v>615000</v>
      </c>
      <c r="B89" s="43">
        <v>202110</v>
      </c>
      <c r="C89" s="44">
        <v>85500</v>
      </c>
      <c r="D89" s="44">
        <v>4.5999999999999996</v>
      </c>
      <c r="H89" s="45">
        <v>5</v>
      </c>
    </row>
    <row r="90" spans="1:8" x14ac:dyDescent="0.2">
      <c r="A90" s="43">
        <v>615000</v>
      </c>
      <c r="B90" s="43">
        <v>202111</v>
      </c>
      <c r="C90" s="44">
        <v>85500</v>
      </c>
      <c r="D90" s="44">
        <v>4.5999999999999996</v>
      </c>
      <c r="H90" s="45">
        <v>5</v>
      </c>
    </row>
    <row r="91" spans="1:8" x14ac:dyDescent="0.2">
      <c r="A91" s="43">
        <v>615000</v>
      </c>
      <c r="B91" s="43">
        <v>202112</v>
      </c>
      <c r="C91" s="44">
        <v>85500</v>
      </c>
      <c r="D91" s="44">
        <v>4.5999999999999996</v>
      </c>
      <c r="F91" s="67" cm="1">
        <f t="array" ref="F91">SUM(D80:D91/12)</f>
        <v>4.5999999999999996</v>
      </c>
      <c r="H91" s="45">
        <v>5</v>
      </c>
    </row>
    <row r="92" spans="1:8" x14ac:dyDescent="0.2">
      <c r="A92" s="46" t="s">
        <v>735</v>
      </c>
      <c r="B92" s="43"/>
      <c r="C92" s="47">
        <f>SUM(C80:C91)</f>
        <v>1050629.58</v>
      </c>
      <c r="H92" s="45"/>
    </row>
    <row r="93" spans="1:8" x14ac:dyDescent="0.2">
      <c r="A93" s="43">
        <v>617000</v>
      </c>
      <c r="B93" s="43">
        <v>202101</v>
      </c>
      <c r="C93" s="44">
        <v>95906.11</v>
      </c>
      <c r="D93" s="44">
        <v>3</v>
      </c>
      <c r="H93" s="45">
        <v>3</v>
      </c>
    </row>
    <row r="94" spans="1:8" x14ac:dyDescent="0.2">
      <c r="A94" s="43">
        <v>617000</v>
      </c>
      <c r="B94" s="43">
        <v>202102</v>
      </c>
      <c r="C94" s="44">
        <v>95935.3</v>
      </c>
      <c r="D94" s="44">
        <v>3</v>
      </c>
      <c r="H94" s="45">
        <v>3</v>
      </c>
    </row>
    <row r="95" spans="1:8" x14ac:dyDescent="0.2">
      <c r="A95" s="43">
        <v>617000</v>
      </c>
      <c r="B95" s="43">
        <v>202103</v>
      </c>
      <c r="C95" s="44">
        <v>95120.82</v>
      </c>
      <c r="D95" s="44">
        <v>3</v>
      </c>
      <c r="H95" s="45">
        <v>3</v>
      </c>
    </row>
    <row r="96" spans="1:8" x14ac:dyDescent="0.2">
      <c r="A96" s="43">
        <v>617000</v>
      </c>
      <c r="B96" s="43">
        <v>202104</v>
      </c>
      <c r="C96" s="44">
        <v>102613.99</v>
      </c>
      <c r="D96" s="44">
        <v>2.6659999999999999</v>
      </c>
      <c r="H96" s="45">
        <v>3</v>
      </c>
    </row>
    <row r="97" spans="1:8" x14ac:dyDescent="0.2">
      <c r="A97" s="43">
        <v>617000</v>
      </c>
      <c r="B97" s="43">
        <v>202105</v>
      </c>
      <c r="C97" s="44">
        <v>97259.1</v>
      </c>
      <c r="D97" s="44">
        <v>3</v>
      </c>
      <c r="H97" s="45">
        <v>3</v>
      </c>
    </row>
    <row r="98" spans="1:8" x14ac:dyDescent="0.2">
      <c r="A98" s="43">
        <v>617000</v>
      </c>
      <c r="B98" s="43">
        <v>202106</v>
      </c>
      <c r="C98" s="44">
        <v>118628.06</v>
      </c>
      <c r="D98" s="44">
        <v>3</v>
      </c>
      <c r="H98" s="45">
        <v>3</v>
      </c>
    </row>
    <row r="99" spans="1:8" x14ac:dyDescent="0.2">
      <c r="A99" s="43">
        <v>617000</v>
      </c>
      <c r="B99" s="43">
        <v>202107</v>
      </c>
      <c r="C99" s="44">
        <v>105344.56</v>
      </c>
      <c r="D99" s="44">
        <v>3</v>
      </c>
      <c r="H99" s="45">
        <v>3</v>
      </c>
    </row>
    <row r="100" spans="1:8" x14ac:dyDescent="0.2">
      <c r="A100" s="43">
        <v>617000</v>
      </c>
      <c r="B100" s="43">
        <v>202108</v>
      </c>
      <c r="C100" s="44">
        <v>97300</v>
      </c>
      <c r="D100" s="44">
        <v>3</v>
      </c>
      <c r="H100" s="45">
        <v>3</v>
      </c>
    </row>
    <row r="101" spans="1:8" x14ac:dyDescent="0.2">
      <c r="A101" s="43">
        <v>617000</v>
      </c>
      <c r="B101" s="43">
        <v>202109</v>
      </c>
      <c r="C101" s="44">
        <v>97300</v>
      </c>
      <c r="D101" s="44">
        <v>3</v>
      </c>
      <c r="H101" s="45">
        <v>3</v>
      </c>
    </row>
    <row r="102" spans="1:8" x14ac:dyDescent="0.2">
      <c r="A102" s="43">
        <v>617000</v>
      </c>
      <c r="B102" s="43">
        <v>202110</v>
      </c>
      <c r="C102" s="44">
        <v>97300</v>
      </c>
      <c r="D102" s="44">
        <v>3</v>
      </c>
      <c r="H102" s="45">
        <v>3</v>
      </c>
    </row>
    <row r="103" spans="1:8" x14ac:dyDescent="0.2">
      <c r="A103" s="43">
        <v>617000</v>
      </c>
      <c r="B103" s="43">
        <v>202111</v>
      </c>
      <c r="C103" s="44">
        <v>97300</v>
      </c>
      <c r="D103" s="44">
        <v>3</v>
      </c>
      <c r="H103" s="45">
        <v>3</v>
      </c>
    </row>
    <row r="104" spans="1:8" x14ac:dyDescent="0.2">
      <c r="A104" s="43">
        <v>617000</v>
      </c>
      <c r="B104" s="43">
        <v>202112</v>
      </c>
      <c r="C104" s="44">
        <v>97300</v>
      </c>
      <c r="D104" s="44">
        <v>3</v>
      </c>
      <c r="F104" s="67" cm="1">
        <f t="array" ref="F104">SUM(D93:D104/12)</f>
        <v>2.9721666666666664</v>
      </c>
      <c r="H104" s="45">
        <v>3</v>
      </c>
    </row>
    <row r="105" spans="1:8" x14ac:dyDescent="0.2">
      <c r="A105" s="43"/>
      <c r="B105" s="43"/>
      <c r="C105" s="47">
        <f>SUM(C93:C104)</f>
        <v>1197307.94</v>
      </c>
      <c r="H105" s="45"/>
    </row>
    <row r="106" spans="1:8" x14ac:dyDescent="0.2">
      <c r="A106" s="46" t="s">
        <v>736</v>
      </c>
      <c r="B106" s="43"/>
      <c r="C106" s="44">
        <f>SUBTOTAL(9,C93:C100)</f>
        <v>808107.94</v>
      </c>
      <c r="H106" s="45"/>
    </row>
    <row r="107" spans="1:8" x14ac:dyDescent="0.2">
      <c r="A107" s="43">
        <v>621100</v>
      </c>
      <c r="B107" s="43">
        <v>202101</v>
      </c>
      <c r="C107" s="44">
        <v>143609.39000000001</v>
      </c>
      <c r="D107" s="44">
        <v>6.81</v>
      </c>
      <c r="H107" s="45">
        <v>7</v>
      </c>
    </row>
    <row r="108" spans="1:8" x14ac:dyDescent="0.2">
      <c r="A108" s="43">
        <v>621100</v>
      </c>
      <c r="B108" s="43">
        <v>202102</v>
      </c>
      <c r="C108" s="44">
        <v>173561.81</v>
      </c>
      <c r="D108" s="44">
        <v>7.81</v>
      </c>
      <c r="H108" s="45">
        <v>8</v>
      </c>
    </row>
    <row r="109" spans="1:8" x14ac:dyDescent="0.2">
      <c r="A109" s="43">
        <v>621100</v>
      </c>
      <c r="B109" s="43">
        <v>202103</v>
      </c>
      <c r="C109" s="44">
        <v>160710.29999999999</v>
      </c>
      <c r="D109" s="44">
        <v>7.81</v>
      </c>
      <c r="H109" s="45">
        <v>8</v>
      </c>
    </row>
    <row r="110" spans="1:8" x14ac:dyDescent="0.2">
      <c r="A110" s="43">
        <v>621100</v>
      </c>
      <c r="B110" s="43">
        <v>202104</v>
      </c>
      <c r="C110" s="44">
        <v>157547.09</v>
      </c>
      <c r="D110" s="44">
        <v>7.81</v>
      </c>
      <c r="H110" s="45">
        <v>8</v>
      </c>
    </row>
    <row r="111" spans="1:8" x14ac:dyDescent="0.2">
      <c r="A111" s="43">
        <v>621100</v>
      </c>
      <c r="B111" s="43">
        <v>202105</v>
      </c>
      <c r="C111" s="44">
        <v>164781.99</v>
      </c>
      <c r="D111" s="44">
        <v>7.81</v>
      </c>
      <c r="H111" s="45">
        <v>8</v>
      </c>
    </row>
    <row r="112" spans="1:8" x14ac:dyDescent="0.2">
      <c r="A112" s="43">
        <v>621100</v>
      </c>
      <c r="B112" s="43">
        <v>202106</v>
      </c>
      <c r="C112" s="44">
        <v>208699.39</v>
      </c>
      <c r="D112" s="44">
        <v>7.81</v>
      </c>
      <c r="H112" s="45">
        <v>8</v>
      </c>
    </row>
    <row r="113" spans="1:8" x14ac:dyDescent="0.2">
      <c r="A113" s="43">
        <v>621100</v>
      </c>
      <c r="B113" s="43">
        <v>202107</v>
      </c>
      <c r="C113" s="44">
        <v>193878.36</v>
      </c>
      <c r="D113" s="44">
        <v>7.81</v>
      </c>
      <c r="H113" s="45">
        <v>8</v>
      </c>
    </row>
    <row r="114" spans="1:8" x14ac:dyDescent="0.2">
      <c r="A114" s="43">
        <v>621100</v>
      </c>
      <c r="B114" s="43">
        <v>202108</v>
      </c>
      <c r="C114" s="44">
        <v>164000</v>
      </c>
      <c r="D114" s="44">
        <v>7.81</v>
      </c>
      <c r="H114" s="45">
        <v>8</v>
      </c>
    </row>
    <row r="115" spans="1:8" x14ac:dyDescent="0.2">
      <c r="A115" s="43">
        <v>621100</v>
      </c>
      <c r="B115" s="43">
        <v>202109</v>
      </c>
      <c r="C115" s="44">
        <f>164000+12000</f>
        <v>176000</v>
      </c>
      <c r="D115" s="44">
        <v>7.81</v>
      </c>
      <c r="H115" s="45">
        <v>8</v>
      </c>
    </row>
    <row r="116" spans="1:8" x14ac:dyDescent="0.2">
      <c r="A116" s="43">
        <v>621100</v>
      </c>
      <c r="B116" s="43">
        <v>202110</v>
      </c>
      <c r="C116" s="44">
        <v>164000</v>
      </c>
      <c r="D116" s="44">
        <v>7.81</v>
      </c>
      <c r="H116" s="45">
        <v>8</v>
      </c>
    </row>
    <row r="117" spans="1:8" x14ac:dyDescent="0.2">
      <c r="A117" s="43">
        <v>621100</v>
      </c>
      <c r="B117" s="43">
        <v>202111</v>
      </c>
      <c r="C117" s="44">
        <v>164000</v>
      </c>
      <c r="D117" s="44">
        <v>7.81</v>
      </c>
      <c r="H117" s="45">
        <v>8</v>
      </c>
    </row>
    <row r="118" spans="1:8" x14ac:dyDescent="0.2">
      <c r="A118" s="43">
        <v>621100</v>
      </c>
      <c r="B118" s="43">
        <v>202112</v>
      </c>
      <c r="C118" s="44">
        <v>164000</v>
      </c>
      <c r="D118" s="44">
        <v>7.81</v>
      </c>
      <c r="F118" s="67" cm="1">
        <f t="array" ref="F118">SUM(D107:D118/12)</f>
        <v>7.7266666666666648</v>
      </c>
      <c r="H118" s="45">
        <v>8</v>
      </c>
    </row>
    <row r="119" spans="1:8" x14ac:dyDescent="0.2">
      <c r="A119" s="46" t="s">
        <v>737</v>
      </c>
      <c r="B119" s="43"/>
      <c r="C119" s="47">
        <f>SUM(C107:C118)</f>
        <v>2034788.33</v>
      </c>
      <c r="H119" s="45"/>
    </row>
    <row r="120" spans="1:8" x14ac:dyDescent="0.2">
      <c r="A120" s="43">
        <v>621300</v>
      </c>
      <c r="B120" s="43">
        <v>202101</v>
      </c>
      <c r="C120" s="44">
        <v>88167.72</v>
      </c>
      <c r="D120" s="44">
        <v>8</v>
      </c>
      <c r="H120" s="45">
        <v>8</v>
      </c>
    </row>
    <row r="121" spans="1:8" x14ac:dyDescent="0.2">
      <c r="A121" s="43">
        <v>621300</v>
      </c>
      <c r="B121" s="43">
        <v>202102</v>
      </c>
      <c r="C121" s="44">
        <v>94389.92</v>
      </c>
      <c r="D121" s="44">
        <v>8.3390000000000004</v>
      </c>
      <c r="H121" s="45">
        <v>9</v>
      </c>
    </row>
    <row r="122" spans="1:8" x14ac:dyDescent="0.2">
      <c r="A122" s="43">
        <v>621300</v>
      </c>
      <c r="B122" s="43">
        <v>202103</v>
      </c>
      <c r="C122" s="44">
        <v>88117.78</v>
      </c>
      <c r="D122" s="44">
        <v>7.5</v>
      </c>
      <c r="H122" s="45">
        <v>8</v>
      </c>
    </row>
    <row r="123" spans="1:8" x14ac:dyDescent="0.2">
      <c r="A123" s="43">
        <v>621300</v>
      </c>
      <c r="B123" s="43">
        <v>202104</v>
      </c>
      <c r="C123" s="44">
        <v>141320.97</v>
      </c>
      <c r="D123" s="44">
        <v>8.1660000000000004</v>
      </c>
      <c r="H123" s="45">
        <v>10</v>
      </c>
    </row>
    <row r="124" spans="1:8" x14ac:dyDescent="0.2">
      <c r="A124" s="43">
        <v>621300</v>
      </c>
      <c r="B124" s="43">
        <v>202105</v>
      </c>
      <c r="C124" s="44">
        <v>104641.61</v>
      </c>
      <c r="D124" s="44">
        <v>8.4670000000000005</v>
      </c>
      <c r="H124" s="45">
        <v>9</v>
      </c>
    </row>
    <row r="125" spans="1:8" x14ac:dyDescent="0.2">
      <c r="A125" s="43">
        <v>621300</v>
      </c>
      <c r="B125" s="43">
        <v>202106</v>
      </c>
      <c r="C125" s="44">
        <v>119552.66</v>
      </c>
      <c r="D125" s="44">
        <v>7</v>
      </c>
      <c r="H125" s="45">
        <v>7</v>
      </c>
    </row>
    <row r="126" spans="1:8" x14ac:dyDescent="0.2">
      <c r="A126" s="43">
        <v>621300</v>
      </c>
      <c r="B126" s="43">
        <v>202107</v>
      </c>
      <c r="C126" s="44">
        <v>85314.8</v>
      </c>
      <c r="D126" s="44">
        <v>6</v>
      </c>
      <c r="H126" s="45">
        <v>7</v>
      </c>
    </row>
    <row r="127" spans="1:8" x14ac:dyDescent="0.2">
      <c r="A127" s="43">
        <v>621300</v>
      </c>
      <c r="B127" s="43">
        <v>202108</v>
      </c>
      <c r="C127" s="44">
        <v>76200</v>
      </c>
      <c r="D127" s="44">
        <v>5</v>
      </c>
      <c r="E127" s="42" t="s">
        <v>738</v>
      </c>
      <c r="H127" s="45">
        <v>5</v>
      </c>
    </row>
    <row r="128" spans="1:8" x14ac:dyDescent="0.2">
      <c r="A128" s="43">
        <v>621300</v>
      </c>
      <c r="B128" s="43">
        <v>202109</v>
      </c>
      <c r="C128" s="44">
        <v>76200</v>
      </c>
      <c r="D128" s="44">
        <v>5</v>
      </c>
      <c r="H128" s="45">
        <v>5</v>
      </c>
    </row>
    <row r="129" spans="1:8" x14ac:dyDescent="0.2">
      <c r="A129" s="43">
        <v>621300</v>
      </c>
      <c r="B129" s="43">
        <v>202109</v>
      </c>
      <c r="C129" s="44">
        <v>76200</v>
      </c>
      <c r="D129" s="44">
        <v>5</v>
      </c>
      <c r="H129" s="45">
        <v>5</v>
      </c>
    </row>
    <row r="130" spans="1:8" x14ac:dyDescent="0.2">
      <c r="A130" s="43">
        <v>621300</v>
      </c>
      <c r="B130" s="43">
        <v>202110</v>
      </c>
      <c r="C130" s="44">
        <v>76200</v>
      </c>
      <c r="D130" s="44">
        <v>5</v>
      </c>
      <c r="H130" s="45">
        <v>5</v>
      </c>
    </row>
    <row r="131" spans="1:8" x14ac:dyDescent="0.2">
      <c r="A131" s="43">
        <v>621300</v>
      </c>
      <c r="B131" s="43">
        <v>202111</v>
      </c>
      <c r="C131" s="44">
        <v>76200</v>
      </c>
      <c r="D131" s="44">
        <v>5</v>
      </c>
      <c r="H131" s="45">
        <v>5</v>
      </c>
    </row>
    <row r="132" spans="1:8" x14ac:dyDescent="0.2">
      <c r="A132" s="43">
        <v>621300</v>
      </c>
      <c r="B132" s="43">
        <v>202112</v>
      </c>
      <c r="C132" s="44">
        <v>76200</v>
      </c>
      <c r="D132" s="44">
        <v>5</v>
      </c>
      <c r="F132" s="67">
        <f>SUM(D120:D132)/12</f>
        <v>6.9559999999999995</v>
      </c>
      <c r="H132" s="45">
        <v>5</v>
      </c>
    </row>
    <row r="133" spans="1:8" x14ac:dyDescent="0.2">
      <c r="A133" s="46" t="s">
        <v>739</v>
      </c>
      <c r="B133" s="43"/>
      <c r="C133" s="47">
        <f>SUM(C120:C132)</f>
        <v>1178705.46</v>
      </c>
      <c r="H133" s="45"/>
    </row>
    <row r="134" spans="1:8" x14ac:dyDescent="0.2">
      <c r="A134" s="43">
        <v>621500</v>
      </c>
      <c r="B134" s="43">
        <v>202101</v>
      </c>
      <c r="C134" s="44">
        <v>44642.14</v>
      </c>
      <c r="D134" s="44">
        <v>2</v>
      </c>
      <c r="H134" s="45">
        <v>2</v>
      </c>
    </row>
    <row r="135" spans="1:8" x14ac:dyDescent="0.2">
      <c r="A135" s="43">
        <v>621500</v>
      </c>
      <c r="B135" s="43">
        <v>202102</v>
      </c>
      <c r="C135" s="44">
        <v>48632.83</v>
      </c>
      <c r="D135" s="44">
        <v>2</v>
      </c>
      <c r="H135" s="45">
        <v>2</v>
      </c>
    </row>
    <row r="136" spans="1:8" x14ac:dyDescent="0.2">
      <c r="A136" s="43">
        <v>621500</v>
      </c>
      <c r="B136" s="43">
        <v>202103</v>
      </c>
      <c r="C136" s="44">
        <v>44724.23</v>
      </c>
      <c r="D136" s="44">
        <v>2</v>
      </c>
      <c r="H136" s="45">
        <v>2</v>
      </c>
    </row>
    <row r="137" spans="1:8" x14ac:dyDescent="0.2">
      <c r="A137" s="43">
        <v>621500</v>
      </c>
      <c r="B137" s="43">
        <v>202104</v>
      </c>
      <c r="C137" s="44">
        <v>45120.28</v>
      </c>
      <c r="D137" s="44">
        <v>2</v>
      </c>
      <c r="H137" s="45">
        <v>2</v>
      </c>
    </row>
    <row r="138" spans="1:8" x14ac:dyDescent="0.2">
      <c r="A138" s="43">
        <v>621500</v>
      </c>
      <c r="B138" s="43">
        <v>202105</v>
      </c>
      <c r="C138" s="44">
        <v>54009.17</v>
      </c>
      <c r="D138" s="44">
        <v>2</v>
      </c>
      <c r="H138" s="45">
        <v>2</v>
      </c>
    </row>
    <row r="139" spans="1:8" x14ac:dyDescent="0.2">
      <c r="A139" s="43">
        <v>621500</v>
      </c>
      <c r="B139" s="43">
        <v>202106</v>
      </c>
      <c r="C139" s="44">
        <v>80620.77</v>
      </c>
      <c r="D139" s="44">
        <v>3</v>
      </c>
      <c r="H139" s="45">
        <v>3</v>
      </c>
    </row>
    <row r="140" spans="1:8" x14ac:dyDescent="0.2">
      <c r="A140" s="43">
        <v>621500</v>
      </c>
      <c r="B140" s="43">
        <v>202107</v>
      </c>
      <c r="C140" s="44">
        <v>68036.88</v>
      </c>
      <c r="D140" s="44">
        <v>3</v>
      </c>
      <c r="H140" s="45">
        <v>3</v>
      </c>
    </row>
    <row r="141" spans="1:8" x14ac:dyDescent="0.2">
      <c r="A141" s="43">
        <v>621500</v>
      </c>
      <c r="B141" s="43">
        <v>202108</v>
      </c>
      <c r="C141" s="44">
        <v>65000</v>
      </c>
      <c r="D141" s="44">
        <v>3</v>
      </c>
      <c r="H141" s="45">
        <v>3</v>
      </c>
    </row>
    <row r="142" spans="1:8" x14ac:dyDescent="0.2">
      <c r="A142" s="43">
        <v>621500</v>
      </c>
      <c r="B142" s="43">
        <v>202109</v>
      </c>
      <c r="C142" s="44">
        <v>65000</v>
      </c>
      <c r="D142" s="44">
        <v>3</v>
      </c>
      <c r="H142" s="45">
        <v>3</v>
      </c>
    </row>
    <row r="143" spans="1:8" x14ac:dyDescent="0.2">
      <c r="A143" s="43">
        <v>621500</v>
      </c>
      <c r="B143" s="43">
        <v>202110</v>
      </c>
      <c r="C143" s="44">
        <v>65000</v>
      </c>
      <c r="D143" s="44">
        <v>3</v>
      </c>
      <c r="H143" s="45">
        <v>3</v>
      </c>
    </row>
    <row r="144" spans="1:8" x14ac:dyDescent="0.2">
      <c r="A144" s="43">
        <v>621500</v>
      </c>
      <c r="B144" s="43">
        <v>202111</v>
      </c>
      <c r="C144" s="44">
        <v>65000</v>
      </c>
      <c r="D144" s="44">
        <v>3</v>
      </c>
      <c r="H144" s="45">
        <v>3</v>
      </c>
    </row>
    <row r="145" spans="1:8" x14ac:dyDescent="0.2">
      <c r="A145" s="43">
        <v>621500</v>
      </c>
      <c r="B145" s="43">
        <v>202112</v>
      </c>
      <c r="C145" s="44">
        <v>65000</v>
      </c>
      <c r="D145" s="44">
        <v>3</v>
      </c>
      <c r="F145" s="67" cm="1">
        <f t="array" ref="F145">SUM(D134:D145/12)</f>
        <v>2.583333333333333</v>
      </c>
      <c r="H145" s="45">
        <v>3</v>
      </c>
    </row>
    <row r="146" spans="1:8" x14ac:dyDescent="0.2">
      <c r="A146" s="46" t="s">
        <v>740</v>
      </c>
      <c r="B146" s="43"/>
      <c r="C146" s="47">
        <f>SUM(C134:C145)</f>
        <v>710786.3</v>
      </c>
      <c r="H146" s="45"/>
    </row>
    <row r="147" spans="1:8" x14ac:dyDescent="0.2">
      <c r="A147" s="43">
        <v>623100</v>
      </c>
      <c r="B147" s="43">
        <v>202101</v>
      </c>
      <c r="C147" s="44">
        <v>145213.03</v>
      </c>
      <c r="D147" s="44">
        <v>11</v>
      </c>
      <c r="H147" s="45">
        <v>11</v>
      </c>
    </row>
    <row r="148" spans="1:8" x14ac:dyDescent="0.2">
      <c r="A148" s="43">
        <v>623100</v>
      </c>
      <c r="B148" s="43">
        <v>202102</v>
      </c>
      <c r="C148" s="44">
        <v>142203.78</v>
      </c>
      <c r="D148" s="44">
        <v>11</v>
      </c>
      <c r="H148" s="45">
        <v>11</v>
      </c>
    </row>
    <row r="149" spans="1:8" x14ac:dyDescent="0.2">
      <c r="A149" s="43">
        <v>623100</v>
      </c>
      <c r="B149" s="43">
        <v>202103</v>
      </c>
      <c r="C149" s="44">
        <v>148980.45000000001</v>
      </c>
      <c r="D149" s="44">
        <v>11</v>
      </c>
      <c r="H149" s="45">
        <v>11</v>
      </c>
    </row>
    <row r="150" spans="1:8" x14ac:dyDescent="0.2">
      <c r="A150" s="43">
        <v>623100</v>
      </c>
      <c r="B150" s="43">
        <v>202104</v>
      </c>
      <c r="C150" s="44">
        <v>139664.19</v>
      </c>
      <c r="D150" s="44">
        <v>11</v>
      </c>
      <c r="H150" s="45">
        <v>11</v>
      </c>
    </row>
    <row r="151" spans="1:8" x14ac:dyDescent="0.2">
      <c r="A151" s="43">
        <v>623100</v>
      </c>
      <c r="B151" s="43">
        <v>202105</v>
      </c>
      <c r="C151" s="44">
        <v>150325.01999999999</v>
      </c>
      <c r="D151" s="44">
        <v>11</v>
      </c>
      <c r="H151" s="45">
        <v>11</v>
      </c>
    </row>
    <row r="152" spans="1:8" x14ac:dyDescent="0.2">
      <c r="A152" s="43">
        <v>623100</v>
      </c>
      <c r="B152" s="43">
        <v>202106</v>
      </c>
      <c r="C152" s="44">
        <v>210468.22</v>
      </c>
      <c r="D152" s="44">
        <v>11</v>
      </c>
      <c r="H152" s="45">
        <v>11</v>
      </c>
    </row>
    <row r="153" spans="1:8" x14ac:dyDescent="0.2">
      <c r="A153" s="43">
        <v>623100</v>
      </c>
      <c r="B153" s="43">
        <v>202107</v>
      </c>
      <c r="C153" s="44">
        <v>175308.87</v>
      </c>
      <c r="D153" s="44">
        <v>11</v>
      </c>
      <c r="H153" s="45">
        <v>11</v>
      </c>
    </row>
    <row r="154" spans="1:8" x14ac:dyDescent="0.2">
      <c r="A154" s="43">
        <v>623100</v>
      </c>
      <c r="B154" s="43">
        <v>202108</v>
      </c>
      <c r="C154" s="44">
        <v>149000</v>
      </c>
      <c r="D154" s="44">
        <v>11</v>
      </c>
      <c r="H154" s="45">
        <v>11</v>
      </c>
    </row>
    <row r="155" spans="1:8" x14ac:dyDescent="0.2">
      <c r="A155" s="43">
        <v>623100</v>
      </c>
      <c r="B155" s="43">
        <v>202109</v>
      </c>
      <c r="C155" s="44">
        <f>149000+13500</f>
        <v>162500</v>
      </c>
      <c r="D155" s="44">
        <v>11</v>
      </c>
      <c r="H155" s="45">
        <v>11</v>
      </c>
    </row>
    <row r="156" spans="1:8" x14ac:dyDescent="0.2">
      <c r="A156" s="43">
        <v>623100</v>
      </c>
      <c r="B156" s="43">
        <v>202110</v>
      </c>
      <c r="C156" s="44">
        <v>149000</v>
      </c>
      <c r="D156" s="44">
        <v>11</v>
      </c>
      <c r="H156" s="45">
        <v>11</v>
      </c>
    </row>
    <row r="157" spans="1:8" x14ac:dyDescent="0.2">
      <c r="A157" s="43">
        <v>623100</v>
      </c>
      <c r="B157" s="43">
        <v>202111</v>
      </c>
      <c r="C157" s="44">
        <v>149000</v>
      </c>
      <c r="D157" s="44">
        <v>11</v>
      </c>
      <c r="H157" s="45">
        <v>11</v>
      </c>
    </row>
    <row r="158" spans="1:8" x14ac:dyDescent="0.2">
      <c r="A158" s="43">
        <v>623100</v>
      </c>
      <c r="B158" s="43">
        <v>202112</v>
      </c>
      <c r="C158" s="44">
        <v>149000</v>
      </c>
      <c r="D158" s="44">
        <v>11</v>
      </c>
      <c r="F158" s="67" cm="1">
        <f t="array" ref="F158">SUM(D147:D158/12)</f>
        <v>10.999999999999998</v>
      </c>
      <c r="H158" s="45">
        <v>11</v>
      </c>
    </row>
    <row r="159" spans="1:8" x14ac:dyDescent="0.2">
      <c r="A159" s="46" t="s">
        <v>741</v>
      </c>
      <c r="B159" s="43"/>
      <c r="C159" s="47">
        <f>SUM(C147:C158)</f>
        <v>1870663.56</v>
      </c>
      <c r="H159" s="45"/>
    </row>
    <row r="160" spans="1:8" x14ac:dyDescent="0.2">
      <c r="A160" s="43">
        <v>623200</v>
      </c>
      <c r="B160" s="43">
        <v>202101</v>
      </c>
      <c r="C160" s="44">
        <v>91838.11</v>
      </c>
      <c r="D160" s="44">
        <v>7</v>
      </c>
      <c r="H160" s="45">
        <v>7</v>
      </c>
    </row>
    <row r="161" spans="1:8" x14ac:dyDescent="0.2">
      <c r="A161" s="43">
        <v>623200</v>
      </c>
      <c r="B161" s="43">
        <v>202102</v>
      </c>
      <c r="C161" s="44">
        <v>88986.8</v>
      </c>
      <c r="D161" s="44">
        <v>7</v>
      </c>
      <c r="H161" s="45">
        <v>7</v>
      </c>
    </row>
    <row r="162" spans="1:8" x14ac:dyDescent="0.2">
      <c r="A162" s="43">
        <v>623200</v>
      </c>
      <c r="B162" s="43">
        <v>202103</v>
      </c>
      <c r="C162" s="44">
        <v>93576.52</v>
      </c>
      <c r="D162" s="44">
        <v>7</v>
      </c>
      <c r="H162" s="45">
        <v>7</v>
      </c>
    </row>
    <row r="163" spans="1:8" x14ac:dyDescent="0.2">
      <c r="A163" s="43">
        <v>623200</v>
      </c>
      <c r="B163" s="43">
        <v>202104</v>
      </c>
      <c r="C163" s="44">
        <v>95153.05</v>
      </c>
      <c r="D163" s="44">
        <v>7</v>
      </c>
      <c r="H163" s="45">
        <v>7</v>
      </c>
    </row>
    <row r="164" spans="1:8" x14ac:dyDescent="0.2">
      <c r="A164" s="43">
        <v>623200</v>
      </c>
      <c r="B164" s="43">
        <v>202105</v>
      </c>
      <c r="C164" s="44">
        <v>99879.59</v>
      </c>
      <c r="D164" s="44">
        <v>7</v>
      </c>
      <c r="H164" s="45">
        <v>7</v>
      </c>
    </row>
    <row r="165" spans="1:8" x14ac:dyDescent="0.2">
      <c r="A165" s="43">
        <v>623200</v>
      </c>
      <c r="B165" s="43">
        <v>202106</v>
      </c>
      <c r="C165" s="44">
        <v>128588.28</v>
      </c>
      <c r="D165" s="44">
        <v>6</v>
      </c>
      <c r="H165" s="45">
        <v>7</v>
      </c>
    </row>
    <row r="166" spans="1:8" x14ac:dyDescent="0.2">
      <c r="A166" s="43">
        <v>623200</v>
      </c>
      <c r="B166" s="43">
        <v>202107</v>
      </c>
      <c r="C166" s="44">
        <v>122885.98</v>
      </c>
      <c r="D166" s="44">
        <v>7</v>
      </c>
      <c r="H166" s="45">
        <v>8</v>
      </c>
    </row>
    <row r="167" spans="1:8" x14ac:dyDescent="0.2">
      <c r="A167" s="43">
        <v>623200</v>
      </c>
      <c r="B167" s="43">
        <v>202108</v>
      </c>
      <c r="C167" s="44">
        <v>96100</v>
      </c>
      <c r="D167" s="44">
        <v>7</v>
      </c>
      <c r="H167" s="45">
        <v>7</v>
      </c>
    </row>
    <row r="168" spans="1:8" x14ac:dyDescent="0.2">
      <c r="A168" s="43">
        <v>623200</v>
      </c>
      <c r="B168" s="43">
        <v>202109</v>
      </c>
      <c r="C168" s="44">
        <f>105000+7000</f>
        <v>112000</v>
      </c>
      <c r="D168" s="44">
        <v>7</v>
      </c>
      <c r="H168" s="45">
        <v>7</v>
      </c>
    </row>
    <row r="169" spans="1:8" x14ac:dyDescent="0.2">
      <c r="A169" s="43">
        <v>623200</v>
      </c>
      <c r="B169" s="43">
        <v>202110</v>
      </c>
      <c r="C169" s="44">
        <v>96100</v>
      </c>
      <c r="D169" s="44">
        <v>7</v>
      </c>
      <c r="H169" s="45">
        <v>7</v>
      </c>
    </row>
    <row r="170" spans="1:8" x14ac:dyDescent="0.2">
      <c r="A170" s="43">
        <v>623200</v>
      </c>
      <c r="B170" s="43">
        <v>202111</v>
      </c>
      <c r="C170" s="44">
        <v>96100</v>
      </c>
      <c r="D170" s="44">
        <v>7</v>
      </c>
      <c r="H170" s="45">
        <v>7</v>
      </c>
    </row>
    <row r="171" spans="1:8" x14ac:dyDescent="0.2">
      <c r="A171" s="43">
        <v>623200</v>
      </c>
      <c r="B171" s="43">
        <v>202112</v>
      </c>
      <c r="C171" s="44">
        <v>96100</v>
      </c>
      <c r="D171" s="44">
        <v>7</v>
      </c>
      <c r="F171" s="67" cm="1">
        <f t="array" ref="F171">SUM(D160:D171/12)</f>
        <v>6.9166666666666652</v>
      </c>
      <c r="H171" s="45">
        <v>7</v>
      </c>
    </row>
    <row r="172" spans="1:8" x14ac:dyDescent="0.2">
      <c r="A172" s="46" t="s">
        <v>742</v>
      </c>
      <c r="B172" s="43"/>
      <c r="C172" s="47">
        <f>SUM(C160:C171)</f>
        <v>1217308.33</v>
      </c>
      <c r="H172" s="45"/>
    </row>
    <row r="173" spans="1:8" x14ac:dyDescent="0.2">
      <c r="A173" s="49">
        <v>711000</v>
      </c>
      <c r="B173" s="43">
        <v>202101</v>
      </c>
      <c r="C173" s="44">
        <v>115047.89</v>
      </c>
      <c r="D173" s="44">
        <v>6.9770000000000003</v>
      </c>
      <c r="H173" s="45">
        <v>10</v>
      </c>
    </row>
    <row r="174" spans="1:8" x14ac:dyDescent="0.2">
      <c r="A174" s="43">
        <v>711000</v>
      </c>
      <c r="B174" s="43">
        <v>202102</v>
      </c>
      <c r="C174" s="44">
        <v>111466.48</v>
      </c>
      <c r="D174" s="44">
        <v>6.3</v>
      </c>
      <c r="H174" s="45">
        <v>8</v>
      </c>
    </row>
    <row r="175" spans="1:8" x14ac:dyDescent="0.2">
      <c r="A175" s="43">
        <v>711000</v>
      </c>
      <c r="B175" s="43">
        <v>202103</v>
      </c>
      <c r="C175" s="44">
        <v>87458.17</v>
      </c>
      <c r="D175" s="44">
        <v>5.3</v>
      </c>
      <c r="H175" s="45">
        <v>6</v>
      </c>
    </row>
    <row r="176" spans="1:8" x14ac:dyDescent="0.2">
      <c r="A176" s="43">
        <v>711000</v>
      </c>
      <c r="B176" s="43">
        <v>202104</v>
      </c>
      <c r="C176" s="44">
        <v>89397.97</v>
      </c>
      <c r="D176" s="44">
        <v>5.3</v>
      </c>
      <c r="H176" s="45">
        <v>6</v>
      </c>
    </row>
    <row r="177" spans="1:8" x14ac:dyDescent="0.2">
      <c r="A177" s="43">
        <v>711000</v>
      </c>
      <c r="B177" s="43">
        <v>202105</v>
      </c>
      <c r="C177" s="44">
        <v>112388.47</v>
      </c>
      <c r="D177" s="44">
        <v>7.1</v>
      </c>
      <c r="H177" s="45">
        <v>8</v>
      </c>
    </row>
    <row r="178" spans="1:8" x14ac:dyDescent="0.2">
      <c r="A178" s="43">
        <v>711000</v>
      </c>
      <c r="B178" s="43">
        <v>202106</v>
      </c>
      <c r="C178" s="44">
        <v>186498.88</v>
      </c>
      <c r="D178" s="44">
        <v>9.1</v>
      </c>
      <c r="H178" s="45">
        <v>10</v>
      </c>
    </row>
    <row r="179" spans="1:8" x14ac:dyDescent="0.2">
      <c r="A179" s="43">
        <v>711000</v>
      </c>
      <c r="B179" s="43">
        <v>202107</v>
      </c>
      <c r="C179" s="44">
        <v>167952.71</v>
      </c>
      <c r="D179" s="44">
        <v>10.1</v>
      </c>
      <c r="H179" s="45">
        <v>11</v>
      </c>
    </row>
    <row r="180" spans="1:8" x14ac:dyDescent="0.2">
      <c r="A180" s="43">
        <v>711000</v>
      </c>
      <c r="B180" s="43">
        <v>202108</v>
      </c>
      <c r="C180" s="44">
        <f>167952.71+15850+24500</f>
        <v>208302.71</v>
      </c>
      <c r="D180" s="44">
        <v>10.1</v>
      </c>
      <c r="H180" s="45">
        <v>11</v>
      </c>
    </row>
    <row r="181" spans="1:8" x14ac:dyDescent="0.2">
      <c r="A181" s="43">
        <v>711000</v>
      </c>
      <c r="B181" s="43">
        <v>202109</v>
      </c>
      <c r="C181" s="44">
        <f>167952.71+30000+4000</f>
        <v>201952.71</v>
      </c>
      <c r="D181" s="44">
        <v>10.1</v>
      </c>
      <c r="H181" s="45">
        <v>11</v>
      </c>
    </row>
    <row r="182" spans="1:8" x14ac:dyDescent="0.2">
      <c r="A182" s="43">
        <v>711000</v>
      </c>
      <c r="B182" s="43">
        <v>202110</v>
      </c>
      <c r="C182" s="44">
        <f>167952.71+2350+4000</f>
        <v>174302.71</v>
      </c>
      <c r="D182" s="44">
        <v>10.1</v>
      </c>
      <c r="H182" s="45">
        <v>11</v>
      </c>
    </row>
    <row r="183" spans="1:8" x14ac:dyDescent="0.2">
      <c r="A183" s="43">
        <v>711000</v>
      </c>
      <c r="B183" s="43">
        <v>202111</v>
      </c>
      <c r="C183" s="44">
        <f t="shared" ref="C183:C184" si="1">167952.71+2350+4000</f>
        <v>174302.71</v>
      </c>
      <c r="D183" s="44">
        <v>10.1</v>
      </c>
      <c r="H183" s="45">
        <v>11</v>
      </c>
    </row>
    <row r="184" spans="1:8" x14ac:dyDescent="0.2">
      <c r="A184" s="43">
        <v>711000</v>
      </c>
      <c r="B184" s="43">
        <v>202112</v>
      </c>
      <c r="C184" s="44">
        <f t="shared" si="1"/>
        <v>174302.71</v>
      </c>
      <c r="D184" s="44">
        <v>10.1</v>
      </c>
      <c r="F184" s="67" cm="1">
        <f t="array" ref="F184">SUM(D173:D184/12)</f>
        <v>8.3897499999999994</v>
      </c>
      <c r="H184" s="45">
        <v>11</v>
      </c>
    </row>
    <row r="185" spans="1:8" x14ac:dyDescent="0.2">
      <c r="A185" s="46" t="s">
        <v>743</v>
      </c>
      <c r="B185" s="43"/>
      <c r="C185" s="47">
        <f>SUM(C173:C184)</f>
        <v>1803374.1199999999</v>
      </c>
      <c r="H185" s="45"/>
    </row>
    <row r="186" spans="1:8" x14ac:dyDescent="0.2">
      <c r="A186" s="43">
        <v>712100</v>
      </c>
      <c r="B186" s="43">
        <v>202101</v>
      </c>
      <c r="C186" s="44">
        <v>36075.42</v>
      </c>
      <c r="D186" s="44">
        <v>2</v>
      </c>
      <c r="H186" s="45">
        <v>2</v>
      </c>
    </row>
    <row r="187" spans="1:8" x14ac:dyDescent="0.2">
      <c r="A187" s="43">
        <v>712100</v>
      </c>
      <c r="B187" s="43">
        <v>202102</v>
      </c>
      <c r="C187" s="44">
        <v>35070.21</v>
      </c>
      <c r="D187" s="44">
        <v>2</v>
      </c>
      <c r="H187" s="45">
        <v>2</v>
      </c>
    </row>
    <row r="188" spans="1:8" x14ac:dyDescent="0.2">
      <c r="A188" s="43">
        <v>712100</v>
      </c>
      <c r="B188" s="43">
        <v>202103</v>
      </c>
      <c r="C188" s="44">
        <v>35892.42</v>
      </c>
      <c r="D188" s="44">
        <v>2</v>
      </c>
      <c r="H188" s="45">
        <v>2</v>
      </c>
    </row>
    <row r="189" spans="1:8" x14ac:dyDescent="0.2">
      <c r="A189" s="43">
        <v>712100</v>
      </c>
      <c r="B189" s="43">
        <v>202104</v>
      </c>
      <c r="C189" s="44">
        <v>50110.55</v>
      </c>
      <c r="D189" s="44">
        <v>2</v>
      </c>
      <c r="H189" s="45">
        <v>2</v>
      </c>
    </row>
    <row r="190" spans="1:8" x14ac:dyDescent="0.2">
      <c r="A190" s="43">
        <v>712100</v>
      </c>
      <c r="B190" s="43">
        <v>202105</v>
      </c>
      <c r="C190" s="44">
        <v>39086.36</v>
      </c>
      <c r="D190" s="44">
        <v>2</v>
      </c>
      <c r="H190" s="45">
        <v>2</v>
      </c>
    </row>
    <row r="191" spans="1:8" x14ac:dyDescent="0.2">
      <c r="A191" s="43">
        <v>712100</v>
      </c>
      <c r="B191" s="43">
        <v>202106</v>
      </c>
      <c r="C191" s="44">
        <v>52997.08</v>
      </c>
      <c r="D191" s="44">
        <v>2</v>
      </c>
      <c r="H191" s="45">
        <v>2</v>
      </c>
    </row>
    <row r="192" spans="1:8" x14ac:dyDescent="0.2">
      <c r="A192" s="43">
        <v>712100</v>
      </c>
      <c r="B192" s="43">
        <v>202107</v>
      </c>
      <c r="C192" s="44">
        <v>43411.74</v>
      </c>
      <c r="D192" s="44">
        <v>2</v>
      </c>
      <c r="H192" s="45">
        <v>2</v>
      </c>
    </row>
    <row r="193" spans="1:8" x14ac:dyDescent="0.2">
      <c r="A193" s="43">
        <v>712100</v>
      </c>
      <c r="B193" s="43">
        <v>202108</v>
      </c>
      <c r="C193" s="44">
        <v>41500</v>
      </c>
      <c r="D193" s="44">
        <v>2</v>
      </c>
      <c r="H193" s="45">
        <v>2</v>
      </c>
    </row>
    <row r="194" spans="1:8" x14ac:dyDescent="0.2">
      <c r="A194" s="43">
        <v>712100</v>
      </c>
      <c r="B194" s="43">
        <v>202109</v>
      </c>
      <c r="C194" s="44">
        <v>38500</v>
      </c>
      <c r="D194" s="44">
        <v>2</v>
      </c>
      <c r="H194" s="45">
        <v>2</v>
      </c>
    </row>
    <row r="195" spans="1:8" x14ac:dyDescent="0.2">
      <c r="A195" s="43">
        <v>712100</v>
      </c>
      <c r="B195" s="43">
        <v>202110</v>
      </c>
      <c r="C195" s="44">
        <v>38500</v>
      </c>
      <c r="D195" s="44">
        <v>2</v>
      </c>
      <c r="H195" s="45">
        <v>2</v>
      </c>
    </row>
    <row r="196" spans="1:8" x14ac:dyDescent="0.2">
      <c r="A196" s="43">
        <v>712100</v>
      </c>
      <c r="B196" s="43">
        <v>202111</v>
      </c>
      <c r="C196" s="44">
        <v>38500</v>
      </c>
      <c r="D196" s="44">
        <v>2</v>
      </c>
      <c r="H196" s="45">
        <v>2</v>
      </c>
    </row>
    <row r="197" spans="1:8" x14ac:dyDescent="0.2">
      <c r="A197" s="43">
        <v>712100</v>
      </c>
      <c r="B197" s="43">
        <v>202112</v>
      </c>
      <c r="C197" s="44">
        <v>38500</v>
      </c>
      <c r="D197" s="44">
        <v>2</v>
      </c>
      <c r="F197" s="67" cm="1">
        <f t="array" ref="F197">SUM(D186:D197/12)</f>
        <v>2</v>
      </c>
      <c r="H197" s="45">
        <v>2</v>
      </c>
    </row>
    <row r="198" spans="1:8" x14ac:dyDescent="0.2">
      <c r="A198" s="46" t="s">
        <v>744</v>
      </c>
      <c r="B198" s="43"/>
      <c r="C198" s="47">
        <f>SUM(C186:C197)</f>
        <v>488143.78</v>
      </c>
      <c r="H198" s="45"/>
    </row>
    <row r="199" spans="1:8" x14ac:dyDescent="0.2">
      <c r="A199" s="43">
        <v>712200</v>
      </c>
      <c r="B199" s="43">
        <v>202101</v>
      </c>
      <c r="C199" s="44">
        <v>477798.66</v>
      </c>
      <c r="D199" s="44">
        <v>36.200000000000003</v>
      </c>
      <c r="H199" s="45">
        <v>38</v>
      </c>
    </row>
    <row r="200" spans="1:8" x14ac:dyDescent="0.2">
      <c r="A200" s="43">
        <v>712200</v>
      </c>
      <c r="B200" s="43">
        <v>202102</v>
      </c>
      <c r="C200" s="44">
        <v>415597.19</v>
      </c>
      <c r="D200" s="44">
        <v>36.200000000000003</v>
      </c>
      <c r="H200" s="45">
        <v>37</v>
      </c>
    </row>
    <row r="201" spans="1:8" x14ac:dyDescent="0.2">
      <c r="A201" s="43">
        <v>712200</v>
      </c>
      <c r="B201" s="43">
        <v>202103</v>
      </c>
      <c r="C201" s="44">
        <v>424352.33</v>
      </c>
      <c r="D201" s="44">
        <v>36.200000000000003</v>
      </c>
      <c r="H201" s="45">
        <v>37</v>
      </c>
    </row>
    <row r="202" spans="1:8" x14ac:dyDescent="0.2">
      <c r="A202" s="43">
        <v>712200</v>
      </c>
      <c r="B202" s="43">
        <v>202104</v>
      </c>
      <c r="C202" s="44">
        <v>433997.3</v>
      </c>
      <c r="D202" s="44">
        <v>36.200000000000003</v>
      </c>
      <c r="H202" s="45">
        <v>37</v>
      </c>
    </row>
    <row r="203" spans="1:8" x14ac:dyDescent="0.2">
      <c r="A203" s="43">
        <v>712200</v>
      </c>
      <c r="B203" s="43">
        <v>202105</v>
      </c>
      <c r="C203" s="44">
        <v>452045.41</v>
      </c>
      <c r="D203" s="44">
        <v>36.200000000000003</v>
      </c>
      <c r="H203" s="45">
        <v>37</v>
      </c>
    </row>
    <row r="204" spans="1:8" x14ac:dyDescent="0.2">
      <c r="A204" s="43">
        <v>712200</v>
      </c>
      <c r="B204" s="43">
        <v>202106</v>
      </c>
      <c r="C204" s="44">
        <v>670202.09</v>
      </c>
      <c r="D204" s="44">
        <v>36.200000000000003</v>
      </c>
      <c r="H204" s="45">
        <v>38</v>
      </c>
    </row>
    <row r="205" spans="1:8" x14ac:dyDescent="0.2">
      <c r="A205" s="43">
        <v>712200</v>
      </c>
      <c r="B205" s="43">
        <v>202107</v>
      </c>
      <c r="C205" s="44">
        <v>493474.21</v>
      </c>
      <c r="D205" s="44">
        <v>36.1</v>
      </c>
      <c r="H205" s="45">
        <v>37</v>
      </c>
    </row>
    <row r="206" spans="1:8" x14ac:dyDescent="0.2">
      <c r="A206" s="43">
        <v>712200</v>
      </c>
      <c r="B206" s="43">
        <v>202108</v>
      </c>
      <c r="C206" s="44">
        <v>452100</v>
      </c>
      <c r="D206" s="44">
        <v>36.1</v>
      </c>
      <c r="H206" s="45">
        <v>37</v>
      </c>
    </row>
    <row r="207" spans="1:8" x14ac:dyDescent="0.2">
      <c r="A207" s="43">
        <v>712200</v>
      </c>
      <c r="B207" s="43">
        <v>202109</v>
      </c>
      <c r="C207" s="44">
        <f>452100+55000</f>
        <v>507100</v>
      </c>
      <c r="D207" s="44">
        <v>36.1</v>
      </c>
      <c r="H207" s="45">
        <v>37</v>
      </c>
    </row>
    <row r="208" spans="1:8" x14ac:dyDescent="0.2">
      <c r="A208" s="43">
        <v>712200</v>
      </c>
      <c r="B208" s="43">
        <v>202110</v>
      </c>
      <c r="C208" s="44">
        <v>452100</v>
      </c>
      <c r="D208" s="44">
        <v>36.1</v>
      </c>
      <c r="H208" s="45">
        <v>37</v>
      </c>
    </row>
    <row r="209" spans="1:8" x14ac:dyDescent="0.2">
      <c r="A209" s="43">
        <v>712200</v>
      </c>
      <c r="B209" s="43">
        <v>202111</v>
      </c>
      <c r="C209" s="44">
        <v>452100</v>
      </c>
      <c r="D209" s="44">
        <v>36.1</v>
      </c>
      <c r="H209" s="45">
        <v>37</v>
      </c>
    </row>
    <row r="210" spans="1:8" x14ac:dyDescent="0.2">
      <c r="A210" s="43">
        <v>712200</v>
      </c>
      <c r="B210" s="43">
        <v>202112</v>
      </c>
      <c r="C210" s="44">
        <v>452100</v>
      </c>
      <c r="D210" s="44">
        <v>36.1</v>
      </c>
      <c r="F210" s="67" cm="1">
        <f t="array" ref="F210">SUM(D199:D210/12)</f>
        <v>36.15</v>
      </c>
      <c r="H210" s="45">
        <v>37</v>
      </c>
    </row>
    <row r="211" spans="1:8" x14ac:dyDescent="0.2">
      <c r="A211" s="46" t="s">
        <v>745</v>
      </c>
      <c r="B211" s="43"/>
      <c r="C211" s="47">
        <f>SUM(C199:C210)</f>
        <v>5682967.1899999995</v>
      </c>
      <c r="H211" s="45"/>
    </row>
    <row r="212" spans="1:8" x14ac:dyDescent="0.2">
      <c r="A212" s="43">
        <v>712300</v>
      </c>
      <c r="B212" s="43">
        <v>202101</v>
      </c>
      <c r="C212" s="44">
        <v>203321.03</v>
      </c>
      <c r="D212" s="44">
        <v>14</v>
      </c>
      <c r="H212" s="45">
        <v>15</v>
      </c>
    </row>
    <row r="213" spans="1:8" x14ac:dyDescent="0.2">
      <c r="A213" s="43">
        <v>712300</v>
      </c>
      <c r="B213" s="43">
        <v>202102</v>
      </c>
      <c r="C213" s="44">
        <v>193638.85</v>
      </c>
      <c r="D213" s="44">
        <v>14</v>
      </c>
      <c r="H213" s="45">
        <v>15</v>
      </c>
    </row>
    <row r="214" spans="1:8" x14ac:dyDescent="0.2">
      <c r="A214" s="43">
        <v>712300</v>
      </c>
      <c r="B214" s="43">
        <v>202103</v>
      </c>
      <c r="C214" s="44">
        <v>189905.36</v>
      </c>
      <c r="D214" s="44">
        <v>14</v>
      </c>
      <c r="H214" s="45">
        <v>15</v>
      </c>
    </row>
    <row r="215" spans="1:8" x14ac:dyDescent="0.2">
      <c r="A215" s="43">
        <v>712300</v>
      </c>
      <c r="B215" s="43">
        <v>202104</v>
      </c>
      <c r="C215" s="44">
        <v>210534.57</v>
      </c>
      <c r="D215" s="44">
        <v>14</v>
      </c>
      <c r="H215" s="45">
        <v>16</v>
      </c>
    </row>
    <row r="216" spans="1:8" x14ac:dyDescent="0.2">
      <c r="A216" s="43">
        <v>712300</v>
      </c>
      <c r="B216" s="43">
        <v>202105</v>
      </c>
      <c r="C216" s="44">
        <v>202881.32</v>
      </c>
      <c r="D216" s="44">
        <v>13</v>
      </c>
      <c r="H216" s="45">
        <v>15</v>
      </c>
    </row>
    <row r="217" spans="1:8" x14ac:dyDescent="0.2">
      <c r="A217" s="43">
        <v>712300</v>
      </c>
      <c r="B217" s="43">
        <v>202106</v>
      </c>
      <c r="C217" s="44">
        <v>286987.33</v>
      </c>
      <c r="D217" s="44">
        <v>13</v>
      </c>
      <c r="H217" s="45">
        <v>16</v>
      </c>
    </row>
    <row r="218" spans="1:8" x14ac:dyDescent="0.2">
      <c r="A218" s="43">
        <v>712300</v>
      </c>
      <c r="B218" s="43">
        <v>202107</v>
      </c>
      <c r="C218" s="44">
        <v>229318.54</v>
      </c>
      <c r="D218" s="44">
        <v>13</v>
      </c>
      <c r="H218" s="45">
        <v>15</v>
      </c>
    </row>
    <row r="219" spans="1:8" x14ac:dyDescent="0.2">
      <c r="A219" s="43">
        <v>712300</v>
      </c>
      <c r="B219" s="43">
        <v>202108</v>
      </c>
      <c r="C219" s="44">
        <v>204000</v>
      </c>
      <c r="D219" s="44">
        <v>13</v>
      </c>
      <c r="H219" s="45">
        <v>15</v>
      </c>
    </row>
    <row r="220" spans="1:8" x14ac:dyDescent="0.2">
      <c r="A220" s="43">
        <v>712300</v>
      </c>
      <c r="B220" s="43">
        <v>202109</v>
      </c>
      <c r="C220" s="44">
        <f>204000+55000</f>
        <v>259000</v>
      </c>
      <c r="D220" s="44">
        <v>13</v>
      </c>
      <c r="H220" s="45">
        <v>15</v>
      </c>
    </row>
    <row r="221" spans="1:8" x14ac:dyDescent="0.2">
      <c r="A221" s="43">
        <v>712300</v>
      </c>
      <c r="B221" s="43">
        <v>202110</v>
      </c>
      <c r="C221" s="44">
        <v>206000</v>
      </c>
      <c r="D221" s="44">
        <v>13</v>
      </c>
      <c r="H221" s="45">
        <v>15</v>
      </c>
    </row>
    <row r="222" spans="1:8" x14ac:dyDescent="0.2">
      <c r="A222" s="43">
        <v>712300</v>
      </c>
      <c r="B222" s="43">
        <v>202111</v>
      </c>
      <c r="C222" s="44">
        <v>206800</v>
      </c>
      <c r="D222" s="44">
        <v>13</v>
      </c>
      <c r="H222" s="45">
        <v>15</v>
      </c>
    </row>
    <row r="223" spans="1:8" x14ac:dyDescent="0.2">
      <c r="A223" s="43">
        <v>712300</v>
      </c>
      <c r="B223" s="43">
        <v>202112</v>
      </c>
      <c r="C223" s="44">
        <v>207000</v>
      </c>
      <c r="D223" s="44">
        <v>13</v>
      </c>
      <c r="F223" s="67" cm="1">
        <f t="array" ref="F223">SUM(D212:D223/12)</f>
        <v>13.333333333333336</v>
      </c>
      <c r="H223" s="45">
        <v>15</v>
      </c>
    </row>
    <row r="224" spans="1:8" x14ac:dyDescent="0.2">
      <c r="A224" s="46" t="s">
        <v>746</v>
      </c>
      <c r="B224" s="43"/>
      <c r="C224" s="47">
        <f>SUM(C212:C223)</f>
        <v>2599387</v>
      </c>
      <c r="H224" s="45"/>
    </row>
    <row r="225" spans="1:8" x14ac:dyDescent="0.2">
      <c r="A225" s="43">
        <v>712400</v>
      </c>
      <c r="B225" s="43">
        <v>202101</v>
      </c>
      <c r="C225" s="44">
        <v>117972.19</v>
      </c>
      <c r="D225" s="44">
        <v>8</v>
      </c>
      <c r="H225" s="45">
        <v>9</v>
      </c>
    </row>
    <row r="226" spans="1:8" x14ac:dyDescent="0.2">
      <c r="A226" s="43">
        <v>712400</v>
      </c>
      <c r="B226" s="43">
        <v>202102</v>
      </c>
      <c r="C226" s="44">
        <v>123068.66</v>
      </c>
      <c r="D226" s="44">
        <v>8</v>
      </c>
      <c r="H226" s="45">
        <v>9</v>
      </c>
    </row>
    <row r="227" spans="1:8" x14ac:dyDescent="0.2">
      <c r="A227" s="43">
        <v>712400</v>
      </c>
      <c r="B227" s="43">
        <v>202103</v>
      </c>
      <c r="C227" s="44">
        <v>120541.96</v>
      </c>
      <c r="D227" s="44">
        <v>8</v>
      </c>
      <c r="H227" s="45">
        <v>9</v>
      </c>
    </row>
    <row r="228" spans="1:8" x14ac:dyDescent="0.2">
      <c r="A228" s="43">
        <v>712400</v>
      </c>
      <c r="B228" s="43">
        <v>202104</v>
      </c>
      <c r="C228" s="44">
        <v>121933.44</v>
      </c>
      <c r="D228" s="44">
        <v>8</v>
      </c>
      <c r="H228" s="45">
        <v>9</v>
      </c>
    </row>
    <row r="229" spans="1:8" x14ac:dyDescent="0.2">
      <c r="A229" s="43">
        <v>712400</v>
      </c>
      <c r="B229" s="43">
        <v>202105</v>
      </c>
      <c r="C229" s="44">
        <v>139549.87</v>
      </c>
      <c r="D229" s="44">
        <v>8</v>
      </c>
      <c r="H229" s="45">
        <v>10</v>
      </c>
    </row>
    <row r="230" spans="1:8" x14ac:dyDescent="0.2">
      <c r="A230" s="43">
        <v>712400</v>
      </c>
      <c r="B230" s="43">
        <v>202106</v>
      </c>
      <c r="C230" s="44">
        <v>178908.13</v>
      </c>
      <c r="D230" s="44">
        <v>8</v>
      </c>
      <c r="H230" s="45">
        <v>11</v>
      </c>
    </row>
    <row r="231" spans="1:8" x14ac:dyDescent="0.2">
      <c r="A231" s="42">
        <v>712400</v>
      </c>
      <c r="B231" s="43">
        <v>202107</v>
      </c>
      <c r="C231" s="44">
        <v>169769.99</v>
      </c>
      <c r="D231" s="44">
        <v>10</v>
      </c>
      <c r="H231" s="45">
        <v>11</v>
      </c>
    </row>
    <row r="232" spans="1:8" x14ac:dyDescent="0.2">
      <c r="A232" s="43">
        <v>712400</v>
      </c>
      <c r="B232" s="43">
        <v>202108</v>
      </c>
      <c r="C232" s="44">
        <v>140600</v>
      </c>
      <c r="D232" s="44">
        <v>10</v>
      </c>
      <c r="H232" s="45">
        <v>11</v>
      </c>
    </row>
    <row r="233" spans="1:8" x14ac:dyDescent="0.2">
      <c r="A233" s="43">
        <v>712400</v>
      </c>
      <c r="B233" s="43">
        <v>202109</v>
      </c>
      <c r="C233" s="44">
        <f>140600+38000</f>
        <v>178600</v>
      </c>
      <c r="D233" s="44">
        <v>10</v>
      </c>
      <c r="H233" s="45">
        <v>11</v>
      </c>
    </row>
    <row r="234" spans="1:8" x14ac:dyDescent="0.2">
      <c r="A234" s="43">
        <v>712400</v>
      </c>
      <c r="B234" s="43">
        <v>202110</v>
      </c>
      <c r="C234" s="44">
        <v>152000</v>
      </c>
      <c r="D234" s="44">
        <v>10</v>
      </c>
      <c r="H234" s="45">
        <v>11</v>
      </c>
    </row>
    <row r="235" spans="1:8" x14ac:dyDescent="0.2">
      <c r="A235" s="43">
        <v>712400</v>
      </c>
      <c r="B235" s="43">
        <v>202111</v>
      </c>
      <c r="C235" s="44">
        <v>165000</v>
      </c>
      <c r="D235" s="44">
        <v>10</v>
      </c>
      <c r="H235" s="45">
        <v>11</v>
      </c>
    </row>
    <row r="236" spans="1:8" x14ac:dyDescent="0.2">
      <c r="A236" s="43">
        <v>712400</v>
      </c>
      <c r="B236" s="43">
        <v>202112</v>
      </c>
      <c r="C236" s="44">
        <v>145000</v>
      </c>
      <c r="D236" s="44">
        <v>10</v>
      </c>
      <c r="F236" s="67" cm="1">
        <f t="array" ref="F236">SUM(D225:D236/12)</f>
        <v>9</v>
      </c>
      <c r="H236" s="45">
        <v>11</v>
      </c>
    </row>
    <row r="237" spans="1:8" x14ac:dyDescent="0.2">
      <c r="A237" s="46" t="s">
        <v>747</v>
      </c>
      <c r="B237" s="43"/>
      <c r="C237" s="47">
        <f>SUM(C225:C236)</f>
        <v>1752944.24</v>
      </c>
      <c r="H237" s="45"/>
    </row>
    <row r="238" spans="1:8" x14ac:dyDescent="0.2">
      <c r="A238" s="43">
        <v>714000</v>
      </c>
      <c r="B238" s="43">
        <v>202101</v>
      </c>
      <c r="C238" s="44">
        <v>57592.61</v>
      </c>
      <c r="D238" s="44">
        <v>2</v>
      </c>
      <c r="H238" s="45">
        <v>2</v>
      </c>
    </row>
    <row r="239" spans="1:8" x14ac:dyDescent="0.2">
      <c r="A239" s="43">
        <v>714000</v>
      </c>
      <c r="B239" s="43">
        <v>202102</v>
      </c>
      <c r="C239" s="44">
        <v>57208.35</v>
      </c>
      <c r="D239" s="44">
        <v>2</v>
      </c>
      <c r="H239" s="45">
        <v>2</v>
      </c>
    </row>
    <row r="240" spans="1:8" x14ac:dyDescent="0.2">
      <c r="A240" s="43">
        <v>714000</v>
      </c>
      <c r="B240" s="43">
        <v>202103</v>
      </c>
      <c r="C240" s="44">
        <v>320049.73</v>
      </c>
      <c r="D240" s="44">
        <v>2.6230000000000002</v>
      </c>
      <c r="H240" s="45">
        <v>3</v>
      </c>
    </row>
    <row r="241" spans="1:8" x14ac:dyDescent="0.2">
      <c r="A241" s="43">
        <v>714000</v>
      </c>
      <c r="B241" s="43">
        <v>202104</v>
      </c>
      <c r="C241" s="44">
        <v>185215.19</v>
      </c>
      <c r="D241" s="44">
        <v>2</v>
      </c>
      <c r="H241" s="45">
        <v>3</v>
      </c>
    </row>
    <row r="242" spans="1:8" x14ac:dyDescent="0.2">
      <c r="A242" s="43">
        <v>714000</v>
      </c>
      <c r="B242" s="43">
        <v>202105</v>
      </c>
      <c r="C242" s="44">
        <v>60963.44</v>
      </c>
      <c r="D242" s="44">
        <v>2</v>
      </c>
      <c r="H242" s="45">
        <v>2</v>
      </c>
    </row>
    <row r="243" spans="1:8" x14ac:dyDescent="0.2">
      <c r="A243" s="43">
        <v>714000</v>
      </c>
      <c r="B243" s="43">
        <v>202106</v>
      </c>
      <c r="C243" s="44">
        <v>65885.039999999994</v>
      </c>
      <c r="D243" s="44">
        <v>2.42</v>
      </c>
      <c r="H243" s="45">
        <v>3</v>
      </c>
    </row>
    <row r="244" spans="1:8" x14ac:dyDescent="0.2">
      <c r="A244" s="43">
        <v>714000</v>
      </c>
      <c r="B244" s="43">
        <v>202107</v>
      </c>
      <c r="C244" s="44">
        <v>47991.92</v>
      </c>
      <c r="D244" s="44">
        <v>2</v>
      </c>
      <c r="H244" s="45">
        <v>2</v>
      </c>
    </row>
    <row r="245" spans="1:8" x14ac:dyDescent="0.2">
      <c r="A245" s="43">
        <v>714000</v>
      </c>
      <c r="B245" s="43">
        <v>202108</v>
      </c>
      <c r="C245" s="44">
        <v>50000</v>
      </c>
      <c r="D245" s="44">
        <v>2</v>
      </c>
      <c r="H245" s="45">
        <v>2</v>
      </c>
    </row>
    <row r="246" spans="1:8" x14ac:dyDescent="0.2">
      <c r="A246" s="43">
        <v>714000</v>
      </c>
      <c r="B246" s="43">
        <v>202109</v>
      </c>
      <c r="C246" s="44">
        <v>50000</v>
      </c>
      <c r="D246" s="44">
        <v>2</v>
      </c>
      <c r="H246" s="45">
        <v>2</v>
      </c>
    </row>
    <row r="247" spans="1:8" x14ac:dyDescent="0.2">
      <c r="A247" s="43">
        <v>714000</v>
      </c>
      <c r="B247" s="43">
        <v>202110</v>
      </c>
      <c r="C247" s="44">
        <v>50000</v>
      </c>
      <c r="D247" s="44">
        <v>2</v>
      </c>
      <c r="H247" s="45">
        <v>2</v>
      </c>
    </row>
    <row r="248" spans="1:8" x14ac:dyDescent="0.2">
      <c r="A248" s="43">
        <v>714000</v>
      </c>
      <c r="B248" s="43">
        <v>202111</v>
      </c>
      <c r="C248" s="44">
        <v>50000</v>
      </c>
      <c r="D248" s="44">
        <v>2</v>
      </c>
      <c r="H248" s="45">
        <v>2</v>
      </c>
    </row>
    <row r="249" spans="1:8" x14ac:dyDescent="0.2">
      <c r="A249" s="43">
        <v>714000</v>
      </c>
      <c r="B249" s="43">
        <v>202112</v>
      </c>
      <c r="C249" s="44">
        <v>50000</v>
      </c>
      <c r="D249" s="44">
        <v>2</v>
      </c>
      <c r="F249" s="67" cm="1">
        <f t="array" ref="F249">SUM(D238:D249/12)</f>
        <v>2.0869166666666668</v>
      </c>
      <c r="H249" s="45">
        <v>2</v>
      </c>
    </row>
    <row r="250" spans="1:8" x14ac:dyDescent="0.2">
      <c r="A250" s="46" t="s">
        <v>748</v>
      </c>
      <c r="B250" s="43"/>
      <c r="C250" s="47">
        <f>SUM(C238:C249)</f>
        <v>1044906.2799999999</v>
      </c>
      <c r="H250" s="45"/>
    </row>
    <row r="251" spans="1:8" x14ac:dyDescent="0.2">
      <c r="A251" s="43">
        <v>715000</v>
      </c>
      <c r="B251" s="43">
        <v>202101</v>
      </c>
      <c r="C251" s="44">
        <v>110496.21</v>
      </c>
      <c r="D251" s="44">
        <v>6</v>
      </c>
      <c r="H251" s="45">
        <v>6</v>
      </c>
    </row>
    <row r="252" spans="1:8" x14ac:dyDescent="0.2">
      <c r="A252" s="43">
        <v>715000</v>
      </c>
      <c r="B252" s="43">
        <v>202102</v>
      </c>
      <c r="C252" s="44">
        <v>102456.02</v>
      </c>
      <c r="D252" s="44">
        <v>6</v>
      </c>
      <c r="H252" s="45">
        <v>6</v>
      </c>
    </row>
    <row r="253" spans="1:8" x14ac:dyDescent="0.2">
      <c r="A253" s="43">
        <v>715000</v>
      </c>
      <c r="B253" s="43">
        <v>202103</v>
      </c>
      <c r="C253" s="44">
        <v>99502.3</v>
      </c>
      <c r="D253" s="44">
        <v>6</v>
      </c>
      <c r="H253" s="45">
        <v>6</v>
      </c>
    </row>
    <row r="254" spans="1:8" x14ac:dyDescent="0.2">
      <c r="A254" s="43">
        <v>715000</v>
      </c>
      <c r="B254" s="43">
        <v>202104</v>
      </c>
      <c r="C254" s="44">
        <v>101721.3</v>
      </c>
      <c r="D254" s="44">
        <v>6</v>
      </c>
      <c r="H254" s="45">
        <v>6</v>
      </c>
    </row>
    <row r="255" spans="1:8" x14ac:dyDescent="0.2">
      <c r="A255" s="43">
        <v>715000</v>
      </c>
      <c r="B255" s="43">
        <v>202105</v>
      </c>
      <c r="C255" s="44">
        <v>105014.39</v>
      </c>
      <c r="D255" s="44">
        <v>6</v>
      </c>
      <c r="H255" s="45">
        <v>6</v>
      </c>
    </row>
    <row r="256" spans="1:8" x14ac:dyDescent="0.2">
      <c r="A256" s="43">
        <v>715000</v>
      </c>
      <c r="B256" s="43">
        <v>202106</v>
      </c>
      <c r="C256" s="44">
        <v>144354.26</v>
      </c>
      <c r="D256" s="44">
        <v>6</v>
      </c>
      <c r="H256" s="45">
        <v>6</v>
      </c>
    </row>
    <row r="257" spans="1:8" x14ac:dyDescent="0.2">
      <c r="A257" s="43">
        <v>715000</v>
      </c>
      <c r="B257" s="43">
        <v>202107</v>
      </c>
      <c r="C257" s="44">
        <v>126502.6</v>
      </c>
      <c r="D257" s="44">
        <v>6</v>
      </c>
      <c r="H257" s="45">
        <v>6</v>
      </c>
    </row>
    <row r="258" spans="1:8" x14ac:dyDescent="0.2">
      <c r="A258" s="43">
        <v>715000</v>
      </c>
      <c r="B258" s="43">
        <v>202108</v>
      </c>
      <c r="C258" s="44">
        <v>105100</v>
      </c>
      <c r="D258" s="44">
        <v>6</v>
      </c>
      <c r="H258" s="45">
        <v>6</v>
      </c>
    </row>
    <row r="259" spans="1:8" x14ac:dyDescent="0.2">
      <c r="A259" s="43">
        <v>715000</v>
      </c>
      <c r="B259" s="43">
        <v>202109</v>
      </c>
      <c r="C259" s="44">
        <f>110000+30000</f>
        <v>140000</v>
      </c>
      <c r="D259" s="44">
        <v>6</v>
      </c>
      <c r="H259" s="45">
        <v>6</v>
      </c>
    </row>
    <row r="260" spans="1:8" x14ac:dyDescent="0.2">
      <c r="A260" s="43">
        <v>715000</v>
      </c>
      <c r="B260" s="43">
        <v>202110</v>
      </c>
      <c r="C260" s="44">
        <v>110000</v>
      </c>
      <c r="D260" s="44">
        <v>6</v>
      </c>
      <c r="H260" s="45">
        <v>6</v>
      </c>
    </row>
    <row r="261" spans="1:8" x14ac:dyDescent="0.2">
      <c r="A261" s="43">
        <v>715000</v>
      </c>
      <c r="B261" s="43">
        <v>202111</v>
      </c>
      <c r="C261" s="44">
        <v>110000</v>
      </c>
      <c r="D261" s="44">
        <v>6</v>
      </c>
      <c r="H261" s="45">
        <v>6</v>
      </c>
    </row>
    <row r="262" spans="1:8" x14ac:dyDescent="0.2">
      <c r="A262" s="43">
        <v>715000</v>
      </c>
      <c r="B262" s="43">
        <v>202112</v>
      </c>
      <c r="C262" s="44">
        <v>110000</v>
      </c>
      <c r="D262" s="44">
        <v>6</v>
      </c>
      <c r="F262" s="67" cm="1">
        <f t="array" ref="F262">SUM(D251:D262/12)</f>
        <v>6</v>
      </c>
      <c r="H262" s="45">
        <v>6</v>
      </c>
    </row>
    <row r="263" spans="1:8" x14ac:dyDescent="0.2">
      <c r="A263" s="46" t="s">
        <v>749</v>
      </c>
      <c r="B263" s="43"/>
      <c r="C263" s="47">
        <f>SUM(C251:C262)</f>
        <v>1365147.08</v>
      </c>
      <c r="H263" s="45"/>
    </row>
    <row r="264" spans="1:8" x14ac:dyDescent="0.2">
      <c r="A264" s="43">
        <v>721000</v>
      </c>
      <c r="B264" s="43">
        <v>202101</v>
      </c>
      <c r="C264" s="44">
        <v>84737.12</v>
      </c>
      <c r="D264" s="44">
        <v>5.4</v>
      </c>
      <c r="H264" s="45">
        <v>7</v>
      </c>
    </row>
    <row r="265" spans="1:8" x14ac:dyDescent="0.2">
      <c r="A265" s="43">
        <v>721000</v>
      </c>
      <c r="B265" s="43">
        <v>202102</v>
      </c>
      <c r="C265" s="44">
        <v>115763.42</v>
      </c>
      <c r="D265" s="44">
        <v>7.4</v>
      </c>
      <c r="H265" s="45">
        <v>8</v>
      </c>
    </row>
    <row r="266" spans="1:8" x14ac:dyDescent="0.2">
      <c r="A266" s="43">
        <v>721000</v>
      </c>
      <c r="B266" s="43">
        <v>202103</v>
      </c>
      <c r="C266" s="44">
        <v>108469.74</v>
      </c>
      <c r="D266" s="44">
        <v>7.4</v>
      </c>
      <c r="H266" s="45">
        <v>9</v>
      </c>
    </row>
    <row r="267" spans="1:8" x14ac:dyDescent="0.2">
      <c r="A267" s="43">
        <v>721000</v>
      </c>
      <c r="B267" s="43">
        <v>202104</v>
      </c>
      <c r="C267" s="44">
        <v>109038.21</v>
      </c>
      <c r="D267" s="44">
        <v>7.4</v>
      </c>
      <c r="H267" s="45">
        <v>9</v>
      </c>
    </row>
    <row r="268" spans="1:8" x14ac:dyDescent="0.2">
      <c r="A268" s="43">
        <v>721000</v>
      </c>
      <c r="B268" s="43">
        <v>202105</v>
      </c>
      <c r="C268" s="44">
        <v>112341.37</v>
      </c>
      <c r="D268" s="44">
        <v>7.4</v>
      </c>
      <c r="H268" s="45">
        <v>9</v>
      </c>
    </row>
    <row r="269" spans="1:8" x14ac:dyDescent="0.2">
      <c r="A269" s="43">
        <v>721000</v>
      </c>
      <c r="B269" s="43">
        <v>202106</v>
      </c>
      <c r="C269" s="44">
        <v>168621.93</v>
      </c>
      <c r="D269" s="44">
        <v>7.4020000000000001</v>
      </c>
      <c r="H269" s="45">
        <v>11</v>
      </c>
    </row>
    <row r="270" spans="1:8" x14ac:dyDescent="0.2">
      <c r="A270" s="43">
        <v>721000</v>
      </c>
      <c r="B270" s="43">
        <v>202107</v>
      </c>
      <c r="C270" s="44">
        <v>118938</v>
      </c>
      <c r="D270" s="44">
        <v>7.0309999999999997</v>
      </c>
      <c r="H270" s="45">
        <v>11</v>
      </c>
    </row>
    <row r="271" spans="1:8" x14ac:dyDescent="0.2">
      <c r="A271" s="43">
        <v>721000</v>
      </c>
      <c r="B271" s="43">
        <v>202108</v>
      </c>
      <c r="C271" s="44">
        <v>113000</v>
      </c>
      <c r="D271" s="44">
        <v>7.0309999999999997</v>
      </c>
      <c r="H271" s="45">
        <v>11</v>
      </c>
    </row>
    <row r="272" spans="1:8" x14ac:dyDescent="0.2">
      <c r="A272" s="43">
        <v>721000</v>
      </c>
      <c r="B272" s="43">
        <v>202109</v>
      </c>
      <c r="C272" s="44">
        <f>113000</f>
        <v>113000</v>
      </c>
      <c r="D272" s="44">
        <v>7.0309999999999997</v>
      </c>
      <c r="H272" s="45">
        <v>11</v>
      </c>
    </row>
    <row r="273" spans="1:8" x14ac:dyDescent="0.2">
      <c r="A273" s="43">
        <v>721000</v>
      </c>
      <c r="B273" s="43">
        <v>202110</v>
      </c>
      <c r="C273" s="44">
        <v>113600</v>
      </c>
      <c r="D273" s="44">
        <v>7.0309999999999997</v>
      </c>
      <c r="H273" s="45">
        <v>11</v>
      </c>
    </row>
    <row r="274" spans="1:8" x14ac:dyDescent="0.2">
      <c r="A274" s="43">
        <v>721000</v>
      </c>
      <c r="B274" s="43">
        <v>202111</v>
      </c>
      <c r="C274" s="44">
        <v>113600</v>
      </c>
      <c r="D274" s="44">
        <v>7.0309999999999997</v>
      </c>
      <c r="H274" s="45">
        <v>11</v>
      </c>
    </row>
    <row r="275" spans="1:8" x14ac:dyDescent="0.2">
      <c r="A275" s="43">
        <v>721000</v>
      </c>
      <c r="B275" s="43">
        <v>202112</v>
      </c>
      <c r="C275" s="44">
        <v>113600</v>
      </c>
      <c r="D275" s="44">
        <v>7.0309999999999997</v>
      </c>
      <c r="F275" s="67" cm="1">
        <f t="array" ref="F275">SUM(D264:D275/12)</f>
        <v>7.0490000000000013</v>
      </c>
      <c r="H275" s="45">
        <v>11</v>
      </c>
    </row>
    <row r="276" spans="1:8" x14ac:dyDescent="0.2">
      <c r="A276" s="46" t="s">
        <v>750</v>
      </c>
      <c r="B276" s="43"/>
      <c r="C276" s="47">
        <f>SUM(C264:C275)</f>
        <v>1384709.79</v>
      </c>
      <c r="H276" s="45"/>
    </row>
    <row r="277" spans="1:8" x14ac:dyDescent="0.2">
      <c r="A277" s="49">
        <v>721100</v>
      </c>
      <c r="B277" s="43">
        <v>202101</v>
      </c>
      <c r="C277" s="44">
        <v>283995.28000000003</v>
      </c>
      <c r="D277" s="44">
        <v>18</v>
      </c>
      <c r="H277" s="45">
        <v>18</v>
      </c>
    </row>
    <row r="278" spans="1:8" x14ac:dyDescent="0.2">
      <c r="A278" s="43">
        <v>721100</v>
      </c>
      <c r="B278" s="43">
        <v>202102</v>
      </c>
      <c r="C278" s="44">
        <v>299820.94</v>
      </c>
      <c r="D278" s="44">
        <v>18</v>
      </c>
      <c r="H278" s="45">
        <v>18</v>
      </c>
    </row>
    <row r="279" spans="1:8" x14ac:dyDescent="0.2">
      <c r="A279" s="43">
        <v>721100</v>
      </c>
      <c r="B279" s="43">
        <v>202103</v>
      </c>
      <c r="C279" s="44">
        <v>284342.87</v>
      </c>
      <c r="D279" s="44">
        <v>18</v>
      </c>
      <c r="H279" s="45">
        <v>18</v>
      </c>
    </row>
    <row r="280" spans="1:8" x14ac:dyDescent="0.2">
      <c r="A280" s="43">
        <v>721100</v>
      </c>
      <c r="B280" s="43">
        <v>202104</v>
      </c>
      <c r="C280" s="44">
        <v>290390.15000000002</v>
      </c>
      <c r="D280" s="44">
        <v>17</v>
      </c>
      <c r="H280" s="45">
        <v>18</v>
      </c>
    </row>
    <row r="281" spans="1:8" x14ac:dyDescent="0.2">
      <c r="A281" s="43">
        <v>721100</v>
      </c>
      <c r="B281" s="43">
        <v>202105</v>
      </c>
      <c r="C281" s="44">
        <v>300160.25</v>
      </c>
      <c r="D281" s="44">
        <v>17</v>
      </c>
      <c r="H281" s="45">
        <v>17</v>
      </c>
    </row>
    <row r="282" spans="1:8" x14ac:dyDescent="0.2">
      <c r="A282" s="43">
        <v>721100</v>
      </c>
      <c r="B282" s="43">
        <v>202106</v>
      </c>
      <c r="C282" s="44">
        <v>396595.52</v>
      </c>
      <c r="D282" s="44">
        <v>17</v>
      </c>
      <c r="H282" s="45">
        <v>17</v>
      </c>
    </row>
    <row r="283" spans="1:8" x14ac:dyDescent="0.2">
      <c r="A283" s="43">
        <v>721100</v>
      </c>
      <c r="B283" s="43">
        <v>202107</v>
      </c>
      <c r="C283" s="44">
        <v>315429.09000000003</v>
      </c>
      <c r="D283" s="44">
        <v>17</v>
      </c>
      <c r="H283" s="45">
        <v>17</v>
      </c>
    </row>
    <row r="284" spans="1:8" x14ac:dyDescent="0.2">
      <c r="A284" s="43">
        <v>721000</v>
      </c>
      <c r="B284" s="43">
        <v>202108</v>
      </c>
      <c r="C284" s="44">
        <v>300100</v>
      </c>
      <c r="D284" s="44">
        <v>17</v>
      </c>
      <c r="H284" s="45">
        <v>17</v>
      </c>
    </row>
    <row r="285" spans="1:8" x14ac:dyDescent="0.2">
      <c r="A285" s="43">
        <v>721000</v>
      </c>
      <c r="B285" s="43">
        <v>202109</v>
      </c>
      <c r="C285" s="44">
        <v>300100</v>
      </c>
      <c r="D285" s="44">
        <v>17</v>
      </c>
      <c r="H285" s="45">
        <v>17</v>
      </c>
    </row>
    <row r="286" spans="1:8" x14ac:dyDescent="0.2">
      <c r="A286" s="43">
        <v>721000</v>
      </c>
      <c r="B286" s="43">
        <v>202110</v>
      </c>
      <c r="C286" s="44">
        <v>300100</v>
      </c>
      <c r="D286" s="44">
        <v>17</v>
      </c>
      <c r="H286" s="45">
        <v>17</v>
      </c>
    </row>
    <row r="287" spans="1:8" x14ac:dyDescent="0.2">
      <c r="A287" s="43">
        <v>721000</v>
      </c>
      <c r="B287" s="43">
        <v>212111</v>
      </c>
      <c r="C287" s="44">
        <v>300100</v>
      </c>
      <c r="D287" s="44">
        <v>17</v>
      </c>
      <c r="H287" s="45">
        <v>17</v>
      </c>
    </row>
    <row r="288" spans="1:8" x14ac:dyDescent="0.2">
      <c r="A288" s="43">
        <v>721000</v>
      </c>
      <c r="B288" s="43">
        <v>202112</v>
      </c>
      <c r="C288" s="44">
        <v>300100</v>
      </c>
      <c r="D288" s="44">
        <v>17</v>
      </c>
      <c r="F288" s="67" cm="1">
        <f t="array" ref="F288">SUM(D277:D288/12)</f>
        <v>17.249999999999996</v>
      </c>
      <c r="H288" s="45">
        <v>17</v>
      </c>
    </row>
    <row r="289" spans="1:8" x14ac:dyDescent="0.2">
      <c r="A289" s="46" t="s">
        <v>751</v>
      </c>
      <c r="B289" s="43"/>
      <c r="C289" s="47">
        <f>SUM(C277:C288)</f>
        <v>3671234.1</v>
      </c>
      <c r="H289" s="45"/>
    </row>
    <row r="290" spans="1:8" x14ac:dyDescent="0.2">
      <c r="A290" s="43">
        <v>721200</v>
      </c>
      <c r="B290" s="43">
        <v>202101</v>
      </c>
      <c r="C290" s="44">
        <f>80817.26+2113</f>
        <v>82930.259999999995</v>
      </c>
      <c r="D290" s="44">
        <v>6.5</v>
      </c>
      <c r="H290" s="45">
        <v>7</v>
      </c>
    </row>
    <row r="291" spans="1:8" x14ac:dyDescent="0.2">
      <c r="A291" s="43">
        <v>721200</v>
      </c>
      <c r="B291" s="43">
        <v>202102</v>
      </c>
      <c r="C291" s="44">
        <f>82817.66+5149</f>
        <v>87966.66</v>
      </c>
      <c r="D291" s="44">
        <v>6.5</v>
      </c>
      <c r="H291" s="45">
        <v>7</v>
      </c>
    </row>
    <row r="292" spans="1:8" x14ac:dyDescent="0.2">
      <c r="A292" s="43">
        <v>721200</v>
      </c>
      <c r="B292" s="43">
        <v>202103</v>
      </c>
      <c r="C292" s="44">
        <f>75792.41+3625.66</f>
        <v>79418.070000000007</v>
      </c>
      <c r="D292" s="44">
        <v>6.5</v>
      </c>
      <c r="H292" s="45">
        <v>7</v>
      </c>
    </row>
    <row r="293" spans="1:8" x14ac:dyDescent="0.2">
      <c r="A293" s="43">
        <v>721200</v>
      </c>
      <c r="B293" s="43">
        <v>202104</v>
      </c>
      <c r="C293" s="44">
        <f>67833.31+12505.36</f>
        <v>80338.67</v>
      </c>
      <c r="D293" s="44">
        <v>5.5330000000000004</v>
      </c>
      <c r="H293" s="45">
        <v>8</v>
      </c>
    </row>
    <row r="294" spans="1:8" x14ac:dyDescent="0.2">
      <c r="A294" s="43">
        <v>721200</v>
      </c>
      <c r="B294" s="43">
        <v>202105</v>
      </c>
      <c r="C294" s="44">
        <f>78410.14+12296.26</f>
        <v>90706.4</v>
      </c>
      <c r="D294" s="44">
        <v>5.5</v>
      </c>
      <c r="H294" s="45">
        <v>8</v>
      </c>
    </row>
    <row r="295" spans="1:8" x14ac:dyDescent="0.2">
      <c r="A295" s="43">
        <v>721200</v>
      </c>
      <c r="B295" s="43">
        <v>202106</v>
      </c>
      <c r="C295" s="44">
        <f>96687.05+13244.51</f>
        <v>109931.56</v>
      </c>
      <c r="D295" s="44">
        <v>5.5</v>
      </c>
      <c r="H295" s="45">
        <v>7</v>
      </c>
    </row>
    <row r="296" spans="1:8" x14ac:dyDescent="0.2">
      <c r="A296" s="43">
        <v>721200</v>
      </c>
      <c r="B296" s="43">
        <v>202107</v>
      </c>
      <c r="C296" s="44">
        <f>89359.86+4645</f>
        <v>94004.86</v>
      </c>
      <c r="D296" s="44">
        <v>6.5</v>
      </c>
      <c r="H296" s="45">
        <v>8</v>
      </c>
    </row>
    <row r="297" spans="1:8" x14ac:dyDescent="0.2">
      <c r="A297" s="43">
        <v>721200</v>
      </c>
      <c r="B297" s="43">
        <v>202108</v>
      </c>
      <c r="C297" s="44">
        <v>75000</v>
      </c>
      <c r="D297" s="44">
        <v>6.5</v>
      </c>
      <c r="H297" s="45">
        <v>8</v>
      </c>
    </row>
    <row r="298" spans="1:8" x14ac:dyDescent="0.2">
      <c r="A298" s="43">
        <v>721200</v>
      </c>
      <c r="B298" s="43">
        <v>202109</v>
      </c>
      <c r="C298" s="44">
        <v>75000</v>
      </c>
      <c r="D298" s="44">
        <v>6.5</v>
      </c>
      <c r="H298" s="45">
        <v>8</v>
      </c>
    </row>
    <row r="299" spans="1:8" x14ac:dyDescent="0.2">
      <c r="A299" s="43">
        <v>721200</v>
      </c>
      <c r="B299" s="43">
        <v>202110</v>
      </c>
      <c r="C299" s="44">
        <v>75500</v>
      </c>
      <c r="D299" s="44">
        <v>6.5</v>
      </c>
      <c r="H299" s="45">
        <v>8</v>
      </c>
    </row>
    <row r="300" spans="1:8" x14ac:dyDescent="0.2">
      <c r="A300" s="43">
        <v>721200</v>
      </c>
      <c r="B300" s="43">
        <v>202111</v>
      </c>
      <c r="C300" s="44">
        <v>75000</v>
      </c>
      <c r="D300" s="44">
        <v>6.5</v>
      </c>
      <c r="H300" s="45">
        <v>8</v>
      </c>
    </row>
    <row r="301" spans="1:8" x14ac:dyDescent="0.2">
      <c r="A301" s="43">
        <v>721200</v>
      </c>
      <c r="B301" s="43">
        <v>202112</v>
      </c>
      <c r="C301" s="44">
        <v>75800</v>
      </c>
      <c r="D301" s="44">
        <v>6.5</v>
      </c>
      <c r="F301" s="67">
        <f>SUM(D290:D301)/12</f>
        <v>6.2527499999999998</v>
      </c>
      <c r="H301" s="45">
        <v>8</v>
      </c>
    </row>
    <row r="302" spans="1:8" x14ac:dyDescent="0.2">
      <c r="A302" s="46" t="s">
        <v>752</v>
      </c>
      <c r="B302" s="43"/>
      <c r="C302" s="47">
        <f>SUM(C290:C301)</f>
        <v>1001596.4799999999</v>
      </c>
      <c r="H302" s="45"/>
    </row>
    <row r="303" spans="1:8" x14ac:dyDescent="0.2">
      <c r="A303" s="43">
        <v>723000</v>
      </c>
      <c r="B303" s="43">
        <v>202101</v>
      </c>
      <c r="C303" s="44">
        <v>18172.46</v>
      </c>
      <c r="D303" s="44">
        <v>2</v>
      </c>
      <c r="H303" s="45">
        <v>2</v>
      </c>
    </row>
    <row r="304" spans="1:8" x14ac:dyDescent="0.2">
      <c r="A304" s="43">
        <v>723000</v>
      </c>
      <c r="B304" s="43">
        <v>202102</v>
      </c>
      <c r="C304" s="44">
        <v>4393.21</v>
      </c>
      <c r="D304" s="69">
        <v>2</v>
      </c>
      <c r="H304" s="45">
        <v>1</v>
      </c>
    </row>
    <row r="305" spans="1:8" x14ac:dyDescent="0.2">
      <c r="A305" s="43">
        <v>723000</v>
      </c>
      <c r="B305" s="43">
        <v>202103</v>
      </c>
      <c r="C305" s="44">
        <v>2220.21</v>
      </c>
      <c r="D305" s="69">
        <v>2</v>
      </c>
      <c r="H305" s="45">
        <v>1</v>
      </c>
    </row>
    <row r="306" spans="1:8" x14ac:dyDescent="0.2">
      <c r="A306" s="43">
        <v>723000</v>
      </c>
      <c r="B306" s="43">
        <v>202104</v>
      </c>
      <c r="C306" s="44">
        <v>2225.29</v>
      </c>
      <c r="D306" s="69">
        <v>2</v>
      </c>
      <c r="H306" s="45">
        <v>1</v>
      </c>
    </row>
    <row r="307" spans="1:8" x14ac:dyDescent="0.2">
      <c r="A307" s="43">
        <v>723000</v>
      </c>
      <c r="B307" s="43">
        <v>202105</v>
      </c>
      <c r="C307" s="44">
        <v>2223.9299999999998</v>
      </c>
      <c r="D307" s="69">
        <v>2</v>
      </c>
      <c r="H307" s="45">
        <v>1</v>
      </c>
    </row>
    <row r="308" spans="1:8" x14ac:dyDescent="0.2">
      <c r="A308" s="43">
        <v>723000</v>
      </c>
      <c r="B308" s="43">
        <v>202106</v>
      </c>
      <c r="C308" s="44">
        <v>2234.5500000000002</v>
      </c>
      <c r="D308" s="69">
        <v>2</v>
      </c>
      <c r="H308" s="45">
        <v>1</v>
      </c>
    </row>
    <row r="309" spans="1:8" x14ac:dyDescent="0.2">
      <c r="A309" s="43">
        <v>723000</v>
      </c>
      <c r="B309" s="43">
        <v>202107</v>
      </c>
      <c r="C309" s="44">
        <v>29097.7</v>
      </c>
      <c r="D309" s="44">
        <v>2</v>
      </c>
      <c r="E309" s="42" t="s">
        <v>753</v>
      </c>
      <c r="H309" s="45">
        <v>2</v>
      </c>
    </row>
    <row r="310" spans="1:8" x14ac:dyDescent="0.2">
      <c r="A310" s="43">
        <v>723000</v>
      </c>
      <c r="B310" s="43">
        <v>202108</v>
      </c>
      <c r="C310" s="44">
        <v>20500</v>
      </c>
      <c r="D310" s="44">
        <v>2</v>
      </c>
      <c r="H310" s="45">
        <v>2</v>
      </c>
    </row>
    <row r="311" spans="1:8" x14ac:dyDescent="0.2">
      <c r="A311" s="43">
        <v>723000</v>
      </c>
      <c r="B311" s="43">
        <v>202109</v>
      </c>
      <c r="C311" s="44">
        <v>20500</v>
      </c>
      <c r="D311" s="44">
        <v>2</v>
      </c>
      <c r="H311" s="45">
        <v>2</v>
      </c>
    </row>
    <row r="312" spans="1:8" x14ac:dyDescent="0.2">
      <c r="A312" s="43">
        <v>723000</v>
      </c>
      <c r="B312" s="43">
        <v>202110</v>
      </c>
      <c r="C312" s="44">
        <v>20500</v>
      </c>
      <c r="D312" s="44">
        <v>2</v>
      </c>
      <c r="H312" s="45">
        <v>2</v>
      </c>
    </row>
    <row r="313" spans="1:8" x14ac:dyDescent="0.2">
      <c r="A313" s="43">
        <v>723000</v>
      </c>
      <c r="B313" s="43">
        <v>202111</v>
      </c>
      <c r="C313" s="44">
        <v>20500</v>
      </c>
      <c r="D313" s="44">
        <v>2</v>
      </c>
      <c r="H313" s="45">
        <v>2</v>
      </c>
    </row>
    <row r="314" spans="1:8" x14ac:dyDescent="0.2">
      <c r="A314" s="43">
        <v>723000</v>
      </c>
      <c r="B314" s="43">
        <v>202112</v>
      </c>
      <c r="C314" s="44">
        <v>20500</v>
      </c>
      <c r="D314" s="44">
        <v>2</v>
      </c>
      <c r="F314" s="67" cm="1">
        <f t="array" ref="F314">SUM(D303:D314/12)</f>
        <v>2</v>
      </c>
      <c r="H314" s="45">
        <v>2</v>
      </c>
    </row>
    <row r="315" spans="1:8" x14ac:dyDescent="0.2">
      <c r="A315" s="46" t="s">
        <v>754</v>
      </c>
      <c r="B315" s="43"/>
      <c r="C315" s="47">
        <f>SUM(C303:C314)</f>
        <v>163067.35</v>
      </c>
      <c r="H315" s="45"/>
    </row>
    <row r="316" spans="1:8" x14ac:dyDescent="0.2">
      <c r="A316" s="43">
        <v>731000</v>
      </c>
      <c r="B316" s="43">
        <v>202101</v>
      </c>
      <c r="C316" s="44">
        <v>181761.31</v>
      </c>
      <c r="D316" s="44">
        <v>8</v>
      </c>
      <c r="H316" s="45">
        <v>8</v>
      </c>
    </row>
    <row r="317" spans="1:8" x14ac:dyDescent="0.2">
      <c r="A317" s="43">
        <v>731000</v>
      </c>
      <c r="B317" s="43">
        <v>202102</v>
      </c>
      <c r="C317" s="44">
        <v>199911.6</v>
      </c>
      <c r="D317" s="44">
        <v>8</v>
      </c>
      <c r="H317" s="45">
        <v>8</v>
      </c>
    </row>
    <row r="318" spans="1:8" x14ac:dyDescent="0.2">
      <c r="A318" s="43">
        <v>731000</v>
      </c>
      <c r="B318" s="43">
        <v>202103</v>
      </c>
      <c r="C318" s="44">
        <v>196364.16</v>
      </c>
      <c r="D318" s="44">
        <v>8</v>
      </c>
      <c r="H318" s="45">
        <v>8</v>
      </c>
    </row>
    <row r="319" spans="1:8" x14ac:dyDescent="0.2">
      <c r="A319" s="43">
        <v>731000</v>
      </c>
      <c r="B319" s="43">
        <v>202104</v>
      </c>
      <c r="C319" s="44">
        <v>200477.87</v>
      </c>
      <c r="D319" s="44">
        <v>8</v>
      </c>
      <c r="H319" s="45">
        <v>8</v>
      </c>
    </row>
    <row r="320" spans="1:8" x14ac:dyDescent="0.2">
      <c r="A320" s="43">
        <v>731000</v>
      </c>
      <c r="B320" s="43">
        <v>202105</v>
      </c>
      <c r="C320" s="44">
        <v>196523.58</v>
      </c>
      <c r="D320" s="44">
        <v>8</v>
      </c>
      <c r="H320" s="45">
        <v>8</v>
      </c>
    </row>
    <row r="321" spans="1:8" x14ac:dyDescent="0.2">
      <c r="A321" s="43">
        <v>731000</v>
      </c>
      <c r="B321" s="43">
        <v>202106</v>
      </c>
      <c r="C321" s="44">
        <v>244686.8</v>
      </c>
      <c r="D321" s="44">
        <v>8</v>
      </c>
      <c r="H321" s="45">
        <v>8</v>
      </c>
    </row>
    <row r="322" spans="1:8" x14ac:dyDescent="0.2">
      <c r="A322" s="43">
        <v>731000</v>
      </c>
      <c r="B322" s="43">
        <v>202107</v>
      </c>
      <c r="C322" s="44">
        <v>223884.7</v>
      </c>
      <c r="D322" s="44">
        <v>8</v>
      </c>
      <c r="H322" s="45">
        <v>9</v>
      </c>
    </row>
    <row r="323" spans="1:8" x14ac:dyDescent="0.2">
      <c r="A323" s="43">
        <v>731000</v>
      </c>
      <c r="B323" s="43">
        <v>202108</v>
      </c>
      <c r="C323" s="44">
        <f>197500+6900</f>
        <v>204400</v>
      </c>
      <c r="D323" s="44">
        <v>8</v>
      </c>
      <c r="H323" s="45">
        <v>9</v>
      </c>
    </row>
    <row r="324" spans="1:8" x14ac:dyDescent="0.2">
      <c r="A324" s="43">
        <v>731000</v>
      </c>
      <c r="B324" s="43">
        <v>202109</v>
      </c>
      <c r="C324" s="44">
        <v>197500</v>
      </c>
      <c r="D324" s="44">
        <v>8</v>
      </c>
      <c r="H324" s="45">
        <v>9</v>
      </c>
    </row>
    <row r="325" spans="1:8" x14ac:dyDescent="0.2">
      <c r="A325" s="43">
        <v>731000</v>
      </c>
      <c r="B325" s="43">
        <v>202110</v>
      </c>
      <c r="C325" s="44">
        <v>197500</v>
      </c>
      <c r="D325" s="44">
        <v>8</v>
      </c>
      <c r="H325" s="45">
        <v>9</v>
      </c>
    </row>
    <row r="326" spans="1:8" x14ac:dyDescent="0.2">
      <c r="A326" s="43">
        <v>731000</v>
      </c>
      <c r="B326" s="43">
        <v>202111</v>
      </c>
      <c r="C326" s="44">
        <v>197500</v>
      </c>
      <c r="D326" s="44">
        <v>8</v>
      </c>
      <c r="H326" s="45">
        <v>9</v>
      </c>
    </row>
    <row r="327" spans="1:8" x14ac:dyDescent="0.2">
      <c r="A327" s="43">
        <v>731000</v>
      </c>
      <c r="B327" s="43">
        <v>202112</v>
      </c>
      <c r="C327" s="44">
        <v>197500</v>
      </c>
      <c r="D327" s="44">
        <v>8</v>
      </c>
      <c r="F327" s="67" cm="1">
        <f t="array" ref="F327">SUM(D316:D327/12)</f>
        <v>8</v>
      </c>
      <c r="H327" s="45">
        <v>9</v>
      </c>
    </row>
    <row r="328" spans="1:8" x14ac:dyDescent="0.2">
      <c r="A328" s="46" t="s">
        <v>755</v>
      </c>
      <c r="B328" s="43"/>
      <c r="C328" s="47">
        <f>SUM(C316:C327)</f>
        <v>2438010.02</v>
      </c>
      <c r="H328" s="45"/>
    </row>
    <row r="329" spans="1:8" x14ac:dyDescent="0.2">
      <c r="A329" s="43">
        <v>733000</v>
      </c>
      <c r="B329" s="43">
        <v>202101</v>
      </c>
      <c r="C329" s="44">
        <v>181649.46</v>
      </c>
      <c r="D329" s="44">
        <v>10.87</v>
      </c>
      <c r="H329" s="45">
        <v>12</v>
      </c>
    </row>
    <row r="330" spans="1:8" x14ac:dyDescent="0.2">
      <c r="A330" s="43">
        <v>733000</v>
      </c>
      <c r="B330" s="43">
        <v>202102</v>
      </c>
      <c r="C330" s="44">
        <v>260452.69</v>
      </c>
      <c r="D330" s="44">
        <v>10</v>
      </c>
      <c r="H330" s="45">
        <v>12</v>
      </c>
    </row>
    <row r="331" spans="1:8" x14ac:dyDescent="0.2">
      <c r="A331" s="43">
        <v>733000</v>
      </c>
      <c r="B331" s="43">
        <v>202103</v>
      </c>
      <c r="C331" s="44">
        <v>206018.95</v>
      </c>
      <c r="D331" s="44">
        <v>10</v>
      </c>
      <c r="H331" s="45">
        <v>12</v>
      </c>
    </row>
    <row r="332" spans="1:8" x14ac:dyDescent="0.2">
      <c r="A332" s="43">
        <v>733000</v>
      </c>
      <c r="B332" s="43">
        <v>202104</v>
      </c>
      <c r="C332" s="44">
        <v>188371.47</v>
      </c>
      <c r="D332" s="44">
        <v>10</v>
      </c>
      <c r="H332" s="45">
        <v>12</v>
      </c>
    </row>
    <row r="333" spans="1:8" x14ac:dyDescent="0.2">
      <c r="A333" s="43">
        <v>733000</v>
      </c>
      <c r="B333" s="43">
        <v>202105</v>
      </c>
      <c r="C333" s="44">
        <v>206140.56</v>
      </c>
      <c r="D333" s="44">
        <v>10</v>
      </c>
      <c r="H333" s="45">
        <v>12</v>
      </c>
    </row>
    <row r="334" spans="1:8" x14ac:dyDescent="0.2">
      <c r="A334" s="43">
        <v>733000</v>
      </c>
      <c r="B334" s="43">
        <v>202106</v>
      </c>
      <c r="C334" s="44">
        <v>247172.35</v>
      </c>
      <c r="D334" s="44">
        <v>10</v>
      </c>
      <c r="H334" s="45">
        <v>11</v>
      </c>
    </row>
    <row r="335" spans="1:8" x14ac:dyDescent="0.2">
      <c r="A335" s="43">
        <v>733000</v>
      </c>
      <c r="B335" s="43">
        <v>202107</v>
      </c>
      <c r="C335" s="44">
        <v>275085.45</v>
      </c>
      <c r="D335" s="44">
        <v>10</v>
      </c>
      <c r="H335" s="45">
        <v>11</v>
      </c>
    </row>
    <row r="336" spans="1:8" x14ac:dyDescent="0.2">
      <c r="A336" s="43">
        <v>733000</v>
      </c>
      <c r="B336" s="43">
        <v>202108</v>
      </c>
      <c r="C336" s="44">
        <v>200000</v>
      </c>
      <c r="D336" s="44">
        <v>10</v>
      </c>
      <c r="H336" s="45">
        <v>11</v>
      </c>
    </row>
    <row r="337" spans="1:8" x14ac:dyDescent="0.2">
      <c r="A337" s="43">
        <v>733000</v>
      </c>
      <c r="B337" s="43">
        <v>202109</v>
      </c>
      <c r="C337" s="44">
        <v>200000</v>
      </c>
      <c r="D337" s="44">
        <v>10</v>
      </c>
      <c r="H337" s="45">
        <v>11</v>
      </c>
    </row>
    <row r="338" spans="1:8" x14ac:dyDescent="0.2">
      <c r="A338" s="43">
        <v>733000</v>
      </c>
      <c r="B338" s="43">
        <v>202110</v>
      </c>
      <c r="C338" s="44">
        <v>210000</v>
      </c>
      <c r="D338" s="44">
        <v>10</v>
      </c>
      <c r="H338" s="45">
        <v>11</v>
      </c>
    </row>
    <row r="339" spans="1:8" x14ac:dyDescent="0.2">
      <c r="A339" s="43">
        <v>733000</v>
      </c>
      <c r="B339" s="43">
        <v>202111</v>
      </c>
      <c r="C339" s="44">
        <v>200000</v>
      </c>
      <c r="D339" s="44">
        <v>10</v>
      </c>
      <c r="H339" s="45">
        <v>11</v>
      </c>
    </row>
    <row r="340" spans="1:8" x14ac:dyDescent="0.2">
      <c r="A340" s="43">
        <v>733000</v>
      </c>
      <c r="B340" s="43">
        <v>202112</v>
      </c>
      <c r="C340" s="44">
        <v>200000</v>
      </c>
      <c r="D340" s="44">
        <v>10</v>
      </c>
      <c r="F340" s="67" cm="1">
        <f t="array" ref="F340">SUM(D329:D340/12)</f>
        <v>10.0725</v>
      </c>
      <c r="H340" s="45">
        <v>11</v>
      </c>
    </row>
    <row r="341" spans="1:8" x14ac:dyDescent="0.2">
      <c r="A341" s="46" t="s">
        <v>756</v>
      </c>
      <c r="B341" s="43"/>
      <c r="C341" s="47">
        <f>SUM(C329:C340)</f>
        <v>2574890.9300000002</v>
      </c>
      <c r="H341" s="45"/>
    </row>
    <row r="342" spans="1:8" x14ac:dyDescent="0.2">
      <c r="A342" s="43">
        <v>741000</v>
      </c>
      <c r="B342" s="43">
        <v>202101</v>
      </c>
      <c r="C342" s="44">
        <v>87872.82</v>
      </c>
      <c r="D342" s="44">
        <v>3</v>
      </c>
      <c r="H342" s="45">
        <v>3</v>
      </c>
    </row>
    <row r="343" spans="1:8" x14ac:dyDescent="0.2">
      <c r="A343" s="43">
        <v>741000</v>
      </c>
      <c r="B343" s="43">
        <v>202102</v>
      </c>
      <c r="C343" s="44">
        <v>81038.05</v>
      </c>
      <c r="D343" s="44">
        <v>3</v>
      </c>
      <c r="H343" s="45">
        <v>3</v>
      </c>
    </row>
    <row r="344" spans="1:8" x14ac:dyDescent="0.2">
      <c r="A344" s="43">
        <v>741000</v>
      </c>
      <c r="B344" s="43">
        <v>202103</v>
      </c>
      <c r="C344" s="44">
        <v>79973.14</v>
      </c>
      <c r="D344" s="44">
        <v>3</v>
      </c>
      <c r="H344" s="45">
        <v>3</v>
      </c>
    </row>
    <row r="345" spans="1:8" x14ac:dyDescent="0.2">
      <c r="A345" s="43">
        <v>741000</v>
      </c>
      <c r="B345" s="43">
        <v>202104</v>
      </c>
      <c r="C345" s="44">
        <v>82320.800000000003</v>
      </c>
      <c r="D345" s="44">
        <v>3</v>
      </c>
      <c r="H345" s="45">
        <v>3</v>
      </c>
    </row>
    <row r="346" spans="1:8" x14ac:dyDescent="0.2">
      <c r="A346" s="43">
        <v>741000</v>
      </c>
      <c r="B346" s="43">
        <v>202105</v>
      </c>
      <c r="C346" s="44">
        <v>81946.59</v>
      </c>
      <c r="D346" s="44">
        <v>3</v>
      </c>
      <c r="H346" s="45">
        <v>3</v>
      </c>
    </row>
    <row r="347" spans="1:8" x14ac:dyDescent="0.2">
      <c r="A347" s="43">
        <v>741000</v>
      </c>
      <c r="B347" s="43">
        <v>202106</v>
      </c>
      <c r="C347" s="44">
        <v>103928.88</v>
      </c>
      <c r="D347" s="44">
        <v>3</v>
      </c>
      <c r="H347" s="45">
        <v>3</v>
      </c>
    </row>
    <row r="348" spans="1:8" x14ac:dyDescent="0.2">
      <c r="A348" s="43">
        <v>741000</v>
      </c>
      <c r="B348" s="43">
        <v>202107</v>
      </c>
      <c r="C348" s="44">
        <v>90385.74</v>
      </c>
      <c r="D348" s="44">
        <v>3</v>
      </c>
      <c r="H348" s="45">
        <v>3</v>
      </c>
    </row>
    <row r="349" spans="1:8" x14ac:dyDescent="0.2">
      <c r="A349" s="43">
        <v>741000</v>
      </c>
      <c r="B349" s="43">
        <v>202108</v>
      </c>
      <c r="C349" s="44">
        <v>82500</v>
      </c>
      <c r="D349" s="44">
        <v>3</v>
      </c>
      <c r="H349" s="45">
        <v>3</v>
      </c>
    </row>
    <row r="350" spans="1:8" x14ac:dyDescent="0.2">
      <c r="A350" s="43">
        <v>741000</v>
      </c>
      <c r="B350" s="43">
        <v>202109</v>
      </c>
      <c r="C350" s="44">
        <f>82500+6200</f>
        <v>88700</v>
      </c>
      <c r="D350" s="44">
        <v>3</v>
      </c>
      <c r="H350" s="45">
        <v>3</v>
      </c>
    </row>
    <row r="351" spans="1:8" x14ac:dyDescent="0.2">
      <c r="A351" s="43">
        <v>741000</v>
      </c>
      <c r="B351" s="43">
        <v>202110</v>
      </c>
      <c r="C351" s="44">
        <v>82500</v>
      </c>
      <c r="D351" s="44">
        <v>3</v>
      </c>
      <c r="H351" s="45">
        <v>3</v>
      </c>
    </row>
    <row r="352" spans="1:8" x14ac:dyDescent="0.2">
      <c r="A352" s="43">
        <v>741000</v>
      </c>
      <c r="B352" s="43">
        <v>202111</v>
      </c>
      <c r="C352" s="44">
        <v>82500</v>
      </c>
      <c r="D352" s="44">
        <v>3</v>
      </c>
      <c r="H352" s="45">
        <v>3</v>
      </c>
    </row>
    <row r="353" spans="1:8" x14ac:dyDescent="0.2">
      <c r="A353" s="43">
        <v>741000</v>
      </c>
      <c r="B353" s="43">
        <v>202112</v>
      </c>
      <c r="C353" s="44">
        <v>82500</v>
      </c>
      <c r="D353" s="44">
        <v>3</v>
      </c>
      <c r="F353" s="67" cm="1">
        <f t="array" ref="F353">SUM(D342:D353/12)</f>
        <v>3</v>
      </c>
      <c r="H353" s="45">
        <v>3</v>
      </c>
    </row>
    <row r="354" spans="1:8" x14ac:dyDescent="0.2">
      <c r="A354" s="46" t="s">
        <v>757</v>
      </c>
      <c r="B354" s="43"/>
      <c r="C354" s="47">
        <f>SUM(C342:C353)</f>
        <v>1026166.02</v>
      </c>
      <c r="H354" s="45"/>
    </row>
    <row r="355" spans="1:8" x14ac:dyDescent="0.2">
      <c r="A355" s="43">
        <v>743000</v>
      </c>
      <c r="B355" s="43">
        <v>202101</v>
      </c>
      <c r="C355" s="44">
        <v>64133.440000000002</v>
      </c>
      <c r="D355" s="44">
        <v>2</v>
      </c>
      <c r="H355" s="45">
        <v>2</v>
      </c>
    </row>
    <row r="356" spans="1:8" x14ac:dyDescent="0.2">
      <c r="A356" s="43">
        <v>743000</v>
      </c>
      <c r="B356" s="43">
        <v>202102</v>
      </c>
      <c r="C356" s="44">
        <v>54289.58</v>
      </c>
      <c r="D356" s="44">
        <v>2</v>
      </c>
      <c r="H356" s="45">
        <v>2</v>
      </c>
    </row>
    <row r="357" spans="1:8" x14ac:dyDescent="0.2">
      <c r="A357" s="43">
        <v>743000</v>
      </c>
      <c r="B357" s="43">
        <v>202103</v>
      </c>
      <c r="C357" s="44">
        <v>50063.47</v>
      </c>
      <c r="D357" s="44">
        <v>2</v>
      </c>
      <c r="H357" s="45">
        <v>2</v>
      </c>
    </row>
    <row r="358" spans="1:8" x14ac:dyDescent="0.2">
      <c r="A358" s="43">
        <v>743000</v>
      </c>
      <c r="B358" s="43">
        <v>202104</v>
      </c>
      <c r="C358" s="44">
        <v>53391.8</v>
      </c>
      <c r="D358" s="44">
        <v>2</v>
      </c>
      <c r="H358" s="45">
        <v>2</v>
      </c>
    </row>
    <row r="359" spans="1:8" x14ac:dyDescent="0.2">
      <c r="A359" s="43">
        <v>743000</v>
      </c>
      <c r="B359" s="43">
        <v>202105</v>
      </c>
      <c r="C359" s="44">
        <v>54277.75</v>
      </c>
      <c r="D359" s="44">
        <v>2</v>
      </c>
      <c r="H359" s="45">
        <v>2</v>
      </c>
    </row>
    <row r="360" spans="1:8" x14ac:dyDescent="0.2">
      <c r="A360" s="43">
        <v>743000</v>
      </c>
      <c r="B360" s="43">
        <v>202106</v>
      </c>
      <c r="C360" s="44">
        <v>63205.5</v>
      </c>
      <c r="D360" s="44">
        <v>2</v>
      </c>
      <c r="H360" s="45">
        <v>2</v>
      </c>
    </row>
    <row r="361" spans="1:8" x14ac:dyDescent="0.2">
      <c r="A361" s="43">
        <v>743000</v>
      </c>
      <c r="B361" s="43">
        <v>202107</v>
      </c>
      <c r="C361" s="44">
        <v>65311.05</v>
      </c>
      <c r="D361" s="44">
        <v>2</v>
      </c>
      <c r="H361" s="45">
        <v>2</v>
      </c>
    </row>
    <row r="362" spans="1:8" x14ac:dyDescent="0.2">
      <c r="A362" s="43">
        <v>743000</v>
      </c>
      <c r="B362" s="43">
        <v>202108</v>
      </c>
      <c r="C362" s="44">
        <v>55000</v>
      </c>
      <c r="D362" s="44">
        <v>2</v>
      </c>
      <c r="H362" s="45">
        <v>2</v>
      </c>
    </row>
    <row r="363" spans="1:8" x14ac:dyDescent="0.2">
      <c r="A363" s="43">
        <v>743000</v>
      </c>
      <c r="B363" s="43">
        <v>202109</v>
      </c>
      <c r="C363" s="44">
        <f>55000+5800</f>
        <v>60800</v>
      </c>
      <c r="D363" s="44">
        <v>2</v>
      </c>
      <c r="H363" s="45">
        <v>2</v>
      </c>
    </row>
    <row r="364" spans="1:8" x14ac:dyDescent="0.2">
      <c r="A364" s="43">
        <v>743000</v>
      </c>
      <c r="B364" s="43">
        <v>202110</v>
      </c>
      <c r="C364" s="44">
        <v>55000</v>
      </c>
      <c r="D364" s="44">
        <v>2</v>
      </c>
      <c r="H364" s="45">
        <v>2</v>
      </c>
    </row>
    <row r="365" spans="1:8" x14ac:dyDescent="0.2">
      <c r="A365" s="43">
        <v>743000</v>
      </c>
      <c r="B365" s="43">
        <v>202111</v>
      </c>
      <c r="C365" s="44">
        <v>55000</v>
      </c>
      <c r="D365" s="44">
        <v>2</v>
      </c>
      <c r="H365" s="45">
        <v>2</v>
      </c>
    </row>
    <row r="366" spans="1:8" x14ac:dyDescent="0.2">
      <c r="A366" s="43">
        <v>743000</v>
      </c>
      <c r="B366" s="43">
        <v>202112</v>
      </c>
      <c r="C366" s="44">
        <v>55000</v>
      </c>
      <c r="D366" s="44">
        <v>2</v>
      </c>
      <c r="F366" s="67" cm="1">
        <f t="array" ref="F366">SUM(D355:D366/12)</f>
        <v>2</v>
      </c>
      <c r="H366" s="45">
        <v>2</v>
      </c>
    </row>
    <row r="367" spans="1:8" x14ac:dyDescent="0.2">
      <c r="A367" s="46" t="s">
        <v>758</v>
      </c>
      <c r="B367" s="43"/>
      <c r="C367" s="47">
        <f>SUM(C355:C366)</f>
        <v>685472.59</v>
      </c>
      <c r="H367" s="45"/>
    </row>
    <row r="368" spans="1:8" x14ac:dyDescent="0.2">
      <c r="A368" s="43">
        <v>746000</v>
      </c>
      <c r="B368" s="43">
        <v>202101</v>
      </c>
      <c r="C368" s="44">
        <v>264007.59000000003</v>
      </c>
      <c r="D368" s="44">
        <v>18.5</v>
      </c>
      <c r="H368" s="45">
        <v>19</v>
      </c>
    </row>
    <row r="369" spans="1:8" x14ac:dyDescent="0.2">
      <c r="A369" s="43">
        <v>746000</v>
      </c>
      <c r="B369" s="43">
        <v>202102</v>
      </c>
      <c r="C369" s="44">
        <v>265243</v>
      </c>
      <c r="D369" s="44">
        <v>18.5</v>
      </c>
      <c r="H369" s="45">
        <v>19</v>
      </c>
    </row>
    <row r="370" spans="1:8" x14ac:dyDescent="0.2">
      <c r="A370" s="43">
        <v>746000</v>
      </c>
      <c r="B370" s="43">
        <v>202103</v>
      </c>
      <c r="C370" s="44">
        <v>298392.28999999998</v>
      </c>
      <c r="D370" s="44">
        <v>19.5</v>
      </c>
      <c r="H370" s="45">
        <v>20</v>
      </c>
    </row>
    <row r="371" spans="1:8" x14ac:dyDescent="0.2">
      <c r="A371" s="43">
        <v>746000</v>
      </c>
      <c r="B371" s="43">
        <v>202104</v>
      </c>
      <c r="C371" s="44">
        <v>285667.5</v>
      </c>
      <c r="D371" s="44">
        <v>19.5</v>
      </c>
      <c r="H371" s="45">
        <v>21</v>
      </c>
    </row>
    <row r="372" spans="1:8" x14ac:dyDescent="0.2">
      <c r="A372" s="43">
        <v>746000</v>
      </c>
      <c r="B372" s="43">
        <v>202105</v>
      </c>
      <c r="C372" s="44">
        <v>286781.36</v>
      </c>
      <c r="D372" s="44">
        <v>17.919</v>
      </c>
      <c r="H372" s="45">
        <v>23</v>
      </c>
    </row>
    <row r="373" spans="1:8" x14ac:dyDescent="0.2">
      <c r="A373" s="43">
        <v>746000</v>
      </c>
      <c r="B373" s="43">
        <v>202106</v>
      </c>
      <c r="C373" s="44">
        <v>372136.53</v>
      </c>
      <c r="D373" s="44">
        <v>17.5</v>
      </c>
      <c r="H373" s="45">
        <v>19</v>
      </c>
    </row>
    <row r="374" spans="1:8" x14ac:dyDescent="0.2">
      <c r="A374" s="43">
        <v>746000</v>
      </c>
      <c r="B374" s="43">
        <v>202107</v>
      </c>
      <c r="C374" s="44">
        <v>308734.87</v>
      </c>
      <c r="D374" s="44">
        <v>17.5</v>
      </c>
      <c r="H374" s="45">
        <v>24</v>
      </c>
    </row>
    <row r="375" spans="1:8" x14ac:dyDescent="0.2">
      <c r="A375" s="43">
        <v>746000</v>
      </c>
      <c r="B375" s="43">
        <v>202108</v>
      </c>
      <c r="C375" s="44">
        <v>286000</v>
      </c>
      <c r="D375" s="44">
        <v>17.5</v>
      </c>
      <c r="H375" s="45">
        <v>24</v>
      </c>
    </row>
    <row r="376" spans="1:8" x14ac:dyDescent="0.2">
      <c r="A376" s="43">
        <v>746000</v>
      </c>
      <c r="B376" s="43">
        <v>202109</v>
      </c>
      <c r="C376" s="44">
        <f>286000+35000</f>
        <v>321000</v>
      </c>
      <c r="D376" s="44">
        <v>17.5</v>
      </c>
      <c r="E376" s="42" t="s">
        <v>759</v>
      </c>
      <c r="H376" s="45">
        <v>24</v>
      </c>
    </row>
    <row r="377" spans="1:8" x14ac:dyDescent="0.2">
      <c r="A377" s="43">
        <v>746000</v>
      </c>
      <c r="B377" s="43">
        <v>202110</v>
      </c>
      <c r="C377" s="44">
        <v>286000</v>
      </c>
      <c r="D377" s="44">
        <v>17.5</v>
      </c>
      <c r="H377" s="45">
        <v>24</v>
      </c>
    </row>
    <row r="378" spans="1:8" x14ac:dyDescent="0.2">
      <c r="A378" s="43">
        <v>746000</v>
      </c>
      <c r="B378" s="43">
        <v>202111</v>
      </c>
      <c r="C378" s="44">
        <v>286000</v>
      </c>
      <c r="D378" s="44">
        <v>17.5</v>
      </c>
      <c r="H378" s="45">
        <v>24</v>
      </c>
    </row>
    <row r="379" spans="1:8" x14ac:dyDescent="0.2">
      <c r="A379" s="43">
        <v>746000</v>
      </c>
      <c r="B379" s="43">
        <v>202112</v>
      </c>
      <c r="C379" s="44">
        <v>286000</v>
      </c>
      <c r="D379" s="44">
        <v>17.5</v>
      </c>
      <c r="F379" s="67" cm="1">
        <f t="array" ref="F379">SUM(D368:D379/12)</f>
        <v>18.034916666666668</v>
      </c>
      <c r="H379" s="45">
        <v>24</v>
      </c>
    </row>
    <row r="380" spans="1:8" x14ac:dyDescent="0.2">
      <c r="A380" s="46" t="s">
        <v>760</v>
      </c>
      <c r="B380" s="43"/>
      <c r="C380" s="47">
        <f>SUM(C368:C379)</f>
        <v>3545963.14</v>
      </c>
      <c r="H380" s="45"/>
    </row>
    <row r="381" spans="1:8" x14ac:dyDescent="0.2">
      <c r="A381" s="43">
        <v>746100</v>
      </c>
      <c r="B381" s="43">
        <v>202101</v>
      </c>
      <c r="C381" s="44">
        <v>17657.38</v>
      </c>
      <c r="D381" s="44">
        <v>1</v>
      </c>
      <c r="H381" s="45">
        <v>1</v>
      </c>
    </row>
    <row r="382" spans="1:8" x14ac:dyDescent="0.2">
      <c r="A382" s="43">
        <v>746100</v>
      </c>
      <c r="B382" s="43">
        <v>202102</v>
      </c>
      <c r="C382" s="44">
        <v>14712.17</v>
      </c>
      <c r="D382" s="44">
        <v>1</v>
      </c>
      <c r="H382" s="45">
        <v>1</v>
      </c>
    </row>
    <row r="383" spans="1:8" x14ac:dyDescent="0.2">
      <c r="A383" s="43">
        <v>746100</v>
      </c>
      <c r="B383" s="43">
        <v>202103</v>
      </c>
      <c r="C383" s="44">
        <v>14861.19</v>
      </c>
      <c r="D383" s="44">
        <v>1</v>
      </c>
      <c r="H383" s="45">
        <v>1</v>
      </c>
    </row>
    <row r="384" spans="1:8" x14ac:dyDescent="0.2">
      <c r="A384" s="43">
        <v>746100</v>
      </c>
      <c r="B384" s="43">
        <v>202104</v>
      </c>
      <c r="C384" s="44">
        <v>24311.91</v>
      </c>
      <c r="D384" s="44">
        <v>1</v>
      </c>
      <c r="H384" s="45">
        <v>1</v>
      </c>
    </row>
    <row r="385" spans="1:8" x14ac:dyDescent="0.2">
      <c r="A385" s="43">
        <v>746100</v>
      </c>
      <c r="B385" s="43">
        <v>202105</v>
      </c>
      <c r="C385" s="44">
        <v>23985.61</v>
      </c>
      <c r="D385" s="44">
        <v>1</v>
      </c>
      <c r="H385" s="45">
        <v>1</v>
      </c>
    </row>
    <row r="386" spans="1:8" x14ac:dyDescent="0.2">
      <c r="A386" s="43">
        <v>746100</v>
      </c>
      <c r="B386" s="43">
        <v>202106</v>
      </c>
      <c r="C386" s="44">
        <v>21235.38</v>
      </c>
      <c r="D386" s="44">
        <v>1</v>
      </c>
      <c r="H386" s="45">
        <v>1</v>
      </c>
    </row>
    <row r="387" spans="1:8" x14ac:dyDescent="0.2">
      <c r="A387" s="43">
        <v>746100</v>
      </c>
      <c r="B387" s="43">
        <v>202107</v>
      </c>
      <c r="C387" s="44">
        <v>17719.080000000002</v>
      </c>
      <c r="D387" s="44">
        <v>1</v>
      </c>
      <c r="H387" s="45">
        <v>1</v>
      </c>
    </row>
    <row r="388" spans="1:8" x14ac:dyDescent="0.2">
      <c r="A388" s="43">
        <v>746100</v>
      </c>
      <c r="B388" s="43">
        <v>202108</v>
      </c>
      <c r="C388" s="44">
        <v>15000</v>
      </c>
      <c r="D388" s="44">
        <v>1</v>
      </c>
      <c r="H388" s="45">
        <v>1</v>
      </c>
    </row>
    <row r="389" spans="1:8" x14ac:dyDescent="0.2">
      <c r="A389" s="43">
        <v>746100</v>
      </c>
      <c r="B389" s="43">
        <v>202109</v>
      </c>
      <c r="C389" s="44">
        <v>15000</v>
      </c>
      <c r="D389" s="44">
        <v>1</v>
      </c>
      <c r="H389" s="45">
        <v>1</v>
      </c>
    </row>
    <row r="390" spans="1:8" x14ac:dyDescent="0.2">
      <c r="A390" s="43">
        <v>746100</v>
      </c>
      <c r="B390" s="43">
        <v>202110</v>
      </c>
      <c r="C390" s="44">
        <v>15000</v>
      </c>
      <c r="D390" s="44">
        <v>1</v>
      </c>
      <c r="H390" s="45">
        <v>1</v>
      </c>
    </row>
    <row r="391" spans="1:8" x14ac:dyDescent="0.2">
      <c r="A391" s="43">
        <v>746100</v>
      </c>
      <c r="B391" s="43">
        <v>202111</v>
      </c>
      <c r="C391" s="44">
        <v>15000</v>
      </c>
      <c r="D391" s="44">
        <v>1</v>
      </c>
      <c r="H391" s="45">
        <v>1</v>
      </c>
    </row>
    <row r="392" spans="1:8" x14ac:dyDescent="0.2">
      <c r="A392" s="43">
        <v>746100</v>
      </c>
      <c r="B392" s="43">
        <v>202112</v>
      </c>
      <c r="C392" s="44">
        <v>15000</v>
      </c>
      <c r="D392" s="44">
        <v>1</v>
      </c>
      <c r="F392" s="67" cm="1">
        <f t="array" ref="F392">SUM(D381:D392/12)</f>
        <v>1</v>
      </c>
      <c r="H392" s="45">
        <v>1</v>
      </c>
    </row>
    <row r="393" spans="1:8" x14ac:dyDescent="0.2">
      <c r="A393" s="46" t="s">
        <v>761</v>
      </c>
      <c r="B393" s="43"/>
      <c r="C393" s="47">
        <f>SUM(C381:C392)</f>
        <v>209482.72000000003</v>
      </c>
      <c r="H393" s="45"/>
    </row>
    <row r="394" spans="1:8" x14ac:dyDescent="0.2">
      <c r="A394" s="43">
        <v>746200</v>
      </c>
      <c r="B394" s="43">
        <v>202101</v>
      </c>
      <c r="C394" s="44">
        <v>59327.73</v>
      </c>
      <c r="D394" s="44">
        <v>4.5999999999999996</v>
      </c>
      <c r="H394" s="45">
        <v>6</v>
      </c>
    </row>
    <row r="395" spans="1:8" x14ac:dyDescent="0.2">
      <c r="A395" s="43">
        <v>746200</v>
      </c>
      <c r="B395" s="43">
        <v>202102</v>
      </c>
      <c r="C395" s="44">
        <v>51102.89</v>
      </c>
      <c r="D395" s="44">
        <v>4.5999999999999996</v>
      </c>
      <c r="H395" s="45">
        <v>5</v>
      </c>
    </row>
    <row r="396" spans="1:8" x14ac:dyDescent="0.2">
      <c r="A396" s="43">
        <v>746200</v>
      </c>
      <c r="B396" s="43">
        <v>202103</v>
      </c>
      <c r="C396" s="44">
        <v>56052.28</v>
      </c>
      <c r="D396" s="44">
        <v>4.5999999999999996</v>
      </c>
      <c r="H396" s="45">
        <v>6</v>
      </c>
    </row>
    <row r="397" spans="1:8" x14ac:dyDescent="0.2">
      <c r="A397" s="43">
        <v>746200</v>
      </c>
      <c r="B397" s="43">
        <v>202104</v>
      </c>
      <c r="C397" s="44">
        <v>65566.06</v>
      </c>
      <c r="D397" s="44">
        <v>4.5999999999999996</v>
      </c>
      <c r="H397" s="45">
        <v>6</v>
      </c>
    </row>
    <row r="398" spans="1:8" x14ac:dyDescent="0.2">
      <c r="A398" s="43">
        <v>746200</v>
      </c>
      <c r="B398" s="43">
        <v>202105</v>
      </c>
      <c r="C398" s="44">
        <v>66212.44</v>
      </c>
      <c r="D398" s="44">
        <v>4.5999999999999996</v>
      </c>
      <c r="H398" s="45">
        <v>6</v>
      </c>
    </row>
    <row r="399" spans="1:8" x14ac:dyDescent="0.2">
      <c r="A399" s="43">
        <v>746200</v>
      </c>
      <c r="B399" s="43">
        <v>202106</v>
      </c>
      <c r="C399" s="44">
        <v>91946.39</v>
      </c>
      <c r="D399" s="44">
        <v>4.5999999999999996</v>
      </c>
      <c r="H399" s="45">
        <v>6</v>
      </c>
    </row>
    <row r="400" spans="1:8" x14ac:dyDescent="0.2">
      <c r="A400" s="43">
        <v>746200</v>
      </c>
      <c r="B400" s="43">
        <v>202107</v>
      </c>
      <c r="C400" s="44">
        <v>55661.09</v>
      </c>
      <c r="D400" s="44">
        <v>3.6</v>
      </c>
      <c r="H400" s="45">
        <v>5</v>
      </c>
    </row>
    <row r="401" spans="1:8" x14ac:dyDescent="0.2">
      <c r="A401" s="43">
        <v>746200</v>
      </c>
      <c r="B401" s="43">
        <v>202108</v>
      </c>
      <c r="C401" s="44">
        <v>55000</v>
      </c>
      <c r="D401" s="44">
        <v>3.6</v>
      </c>
      <c r="H401" s="45">
        <v>4</v>
      </c>
    </row>
    <row r="402" spans="1:8" x14ac:dyDescent="0.2">
      <c r="A402" s="43">
        <v>746200</v>
      </c>
      <c r="B402" s="43">
        <v>202109</v>
      </c>
      <c r="C402" s="44">
        <f>55000+6100</f>
        <v>61100</v>
      </c>
      <c r="D402" s="44">
        <v>3.6</v>
      </c>
      <c r="H402" s="45">
        <v>4</v>
      </c>
    </row>
    <row r="403" spans="1:8" x14ac:dyDescent="0.2">
      <c r="A403" s="43">
        <v>746200</v>
      </c>
      <c r="B403" s="43">
        <v>202110</v>
      </c>
      <c r="C403" s="44">
        <v>55000</v>
      </c>
      <c r="D403" s="44">
        <v>3.6</v>
      </c>
      <c r="H403" s="45">
        <v>4</v>
      </c>
    </row>
    <row r="404" spans="1:8" x14ac:dyDescent="0.2">
      <c r="A404" s="43">
        <v>746200</v>
      </c>
      <c r="B404" s="43">
        <v>202111</v>
      </c>
      <c r="C404" s="44">
        <v>55000</v>
      </c>
      <c r="D404" s="44">
        <v>3.6</v>
      </c>
      <c r="H404" s="45">
        <v>4</v>
      </c>
    </row>
    <row r="405" spans="1:8" x14ac:dyDescent="0.2">
      <c r="A405" s="43">
        <v>746200</v>
      </c>
      <c r="B405" s="43">
        <v>202112</v>
      </c>
      <c r="C405" s="44">
        <v>55000</v>
      </c>
      <c r="D405" s="44">
        <v>3.6</v>
      </c>
      <c r="F405" s="67" cm="1">
        <f t="array" ref="F405">SUM(D394:D405/12)</f>
        <v>4.0999999999999988</v>
      </c>
      <c r="H405" s="45">
        <v>4</v>
      </c>
    </row>
    <row r="406" spans="1:8" x14ac:dyDescent="0.2">
      <c r="A406" s="46" t="s">
        <v>762</v>
      </c>
      <c r="B406" s="43"/>
      <c r="C406" s="47">
        <f>SUM(C394:C405)</f>
        <v>726968.88</v>
      </c>
      <c r="H406" s="45"/>
    </row>
    <row r="407" spans="1:8" x14ac:dyDescent="0.2">
      <c r="A407" s="43">
        <v>761000</v>
      </c>
      <c r="B407" s="43">
        <v>202101</v>
      </c>
      <c r="C407" s="44">
        <v>117350.51</v>
      </c>
      <c r="D407" s="44">
        <v>7.45</v>
      </c>
      <c r="H407" s="45">
        <v>8</v>
      </c>
    </row>
    <row r="408" spans="1:8" x14ac:dyDescent="0.2">
      <c r="A408" s="43">
        <v>761000</v>
      </c>
      <c r="B408" s="43">
        <v>202102</v>
      </c>
      <c r="C408" s="44">
        <v>110985.3</v>
      </c>
      <c r="D408" s="44">
        <v>7.45</v>
      </c>
      <c r="H408" s="45">
        <v>9</v>
      </c>
    </row>
    <row r="409" spans="1:8" x14ac:dyDescent="0.2">
      <c r="A409" s="43">
        <v>761000</v>
      </c>
      <c r="B409" s="43">
        <v>202103</v>
      </c>
      <c r="C409" s="44">
        <v>113115.71</v>
      </c>
      <c r="D409" s="44">
        <v>7.45</v>
      </c>
      <c r="H409" s="45">
        <v>8</v>
      </c>
    </row>
    <row r="410" spans="1:8" x14ac:dyDescent="0.2">
      <c r="A410" s="43">
        <v>761000</v>
      </c>
      <c r="B410" s="43">
        <v>202104</v>
      </c>
      <c r="C410" s="44">
        <v>123491.58</v>
      </c>
      <c r="D410" s="44">
        <v>7.45</v>
      </c>
      <c r="H410" s="45">
        <v>8</v>
      </c>
    </row>
    <row r="411" spans="1:8" x14ac:dyDescent="0.2">
      <c r="A411" s="43">
        <v>761000</v>
      </c>
      <c r="B411" s="43">
        <v>202105</v>
      </c>
      <c r="C411" s="44">
        <v>128574.37</v>
      </c>
      <c r="D411" s="44">
        <v>7.45</v>
      </c>
      <c r="H411" s="45">
        <v>8</v>
      </c>
    </row>
    <row r="412" spans="1:8" x14ac:dyDescent="0.2">
      <c r="A412" s="43">
        <v>761000</v>
      </c>
      <c r="B412" s="43">
        <v>202106</v>
      </c>
      <c r="C412" s="44">
        <v>173313</v>
      </c>
      <c r="D412" s="44">
        <v>7.45</v>
      </c>
      <c r="H412" s="45">
        <v>8</v>
      </c>
    </row>
    <row r="413" spans="1:8" x14ac:dyDescent="0.2">
      <c r="A413" s="43">
        <v>761000</v>
      </c>
      <c r="B413" s="43">
        <v>202107</v>
      </c>
      <c r="C413" s="44">
        <v>138381.20000000001</v>
      </c>
      <c r="D413" s="44">
        <v>7.5039999999999996</v>
      </c>
      <c r="H413" s="45">
        <v>9</v>
      </c>
    </row>
    <row r="414" spans="1:8" x14ac:dyDescent="0.2">
      <c r="A414" s="43">
        <v>761000</v>
      </c>
      <c r="B414" s="43">
        <v>202108</v>
      </c>
      <c r="C414" s="44">
        <v>125000</v>
      </c>
      <c r="D414" s="44">
        <v>7.5039999999999996</v>
      </c>
      <c r="H414" s="45">
        <v>8</v>
      </c>
    </row>
    <row r="415" spans="1:8" x14ac:dyDescent="0.2">
      <c r="A415" s="43">
        <v>761000</v>
      </c>
      <c r="B415" s="43">
        <v>202109</v>
      </c>
      <c r="C415" s="44">
        <f>125000+30000</f>
        <v>155000</v>
      </c>
      <c r="D415" s="44">
        <v>7.5039999999999996</v>
      </c>
      <c r="H415" s="45">
        <v>8</v>
      </c>
    </row>
    <row r="416" spans="1:8" x14ac:dyDescent="0.2">
      <c r="A416" s="43">
        <v>761000</v>
      </c>
      <c r="B416" s="43">
        <v>202110</v>
      </c>
      <c r="C416" s="44">
        <v>125000</v>
      </c>
      <c r="D416" s="44">
        <v>7.5039999999999996</v>
      </c>
      <c r="H416" s="45">
        <v>8</v>
      </c>
    </row>
    <row r="417" spans="1:8" x14ac:dyDescent="0.2">
      <c r="A417" s="43">
        <v>761000</v>
      </c>
      <c r="B417" s="43">
        <v>202111</v>
      </c>
      <c r="C417" s="44">
        <v>125000</v>
      </c>
      <c r="D417" s="44">
        <v>7.5039999999999996</v>
      </c>
      <c r="H417" s="45">
        <v>8</v>
      </c>
    </row>
    <row r="418" spans="1:8" x14ac:dyDescent="0.2">
      <c r="A418" s="43">
        <v>761000</v>
      </c>
      <c r="B418" s="43">
        <v>202112</v>
      </c>
      <c r="C418" s="44">
        <v>125000</v>
      </c>
      <c r="D418" s="44">
        <v>7.5039999999999996</v>
      </c>
      <c r="F418" s="67" cm="1">
        <f t="array" ref="F418">SUM(D407:D418/12)</f>
        <v>7.4770000000000021</v>
      </c>
      <c r="H418" s="45">
        <v>8</v>
      </c>
    </row>
    <row r="419" spans="1:8" x14ac:dyDescent="0.2">
      <c r="A419" s="46" t="s">
        <v>763</v>
      </c>
      <c r="B419" s="43"/>
      <c r="C419" s="47">
        <f>SUM(C407:C418)</f>
        <v>1560211.67</v>
      </c>
      <c r="H419" s="45"/>
    </row>
    <row r="420" spans="1:8" x14ac:dyDescent="0.2">
      <c r="A420" s="43">
        <v>764000</v>
      </c>
      <c r="B420" s="43">
        <v>202101</v>
      </c>
      <c r="C420" s="44">
        <v>13583.02</v>
      </c>
      <c r="D420" s="44">
        <v>1</v>
      </c>
      <c r="H420" s="45">
        <v>1</v>
      </c>
    </row>
    <row r="421" spans="1:8" x14ac:dyDescent="0.2">
      <c r="A421" s="43">
        <v>764000</v>
      </c>
      <c r="B421" s="43">
        <v>202102</v>
      </c>
      <c r="C421" s="44">
        <v>13822.07</v>
      </c>
      <c r="D421" s="44">
        <v>1</v>
      </c>
      <c r="H421" s="45">
        <v>1</v>
      </c>
    </row>
    <row r="422" spans="1:8" x14ac:dyDescent="0.2">
      <c r="A422" s="43">
        <v>764000</v>
      </c>
      <c r="B422" s="43">
        <v>202103</v>
      </c>
      <c r="C422" s="44">
        <v>15032.03</v>
      </c>
      <c r="D422" s="44">
        <v>1</v>
      </c>
      <c r="H422" s="45">
        <v>1</v>
      </c>
    </row>
    <row r="423" spans="1:8" x14ac:dyDescent="0.2">
      <c r="A423" s="43">
        <v>764000</v>
      </c>
      <c r="B423" s="43">
        <v>202104</v>
      </c>
      <c r="C423" s="44">
        <v>12643.71</v>
      </c>
      <c r="D423" s="44">
        <v>1</v>
      </c>
      <c r="H423" s="45">
        <v>1</v>
      </c>
    </row>
    <row r="424" spans="1:8" x14ac:dyDescent="0.2">
      <c r="A424" s="43">
        <v>764000</v>
      </c>
      <c r="B424" s="43">
        <v>202105</v>
      </c>
      <c r="C424" s="44">
        <v>14402.69</v>
      </c>
      <c r="D424" s="44">
        <v>1</v>
      </c>
      <c r="H424" s="45">
        <v>1</v>
      </c>
    </row>
    <row r="425" spans="1:8" x14ac:dyDescent="0.2">
      <c r="A425" s="43">
        <v>764000</v>
      </c>
      <c r="B425" s="43">
        <v>202106</v>
      </c>
      <c r="C425" s="44">
        <v>21498.16</v>
      </c>
      <c r="D425" s="44">
        <v>1</v>
      </c>
      <c r="H425" s="45">
        <v>1</v>
      </c>
    </row>
    <row r="426" spans="1:8" x14ac:dyDescent="0.2">
      <c r="A426" s="43">
        <v>764000</v>
      </c>
      <c r="B426" s="43">
        <v>202107</v>
      </c>
      <c r="C426" s="44">
        <v>16358.24</v>
      </c>
      <c r="D426" s="44">
        <v>1</v>
      </c>
      <c r="H426" s="45">
        <v>1</v>
      </c>
    </row>
    <row r="427" spans="1:8" x14ac:dyDescent="0.2">
      <c r="A427" s="43">
        <v>764000</v>
      </c>
      <c r="B427" s="43">
        <v>202108</v>
      </c>
      <c r="C427" s="44">
        <v>14500</v>
      </c>
      <c r="D427" s="44">
        <v>1</v>
      </c>
      <c r="H427" s="45">
        <v>1</v>
      </c>
    </row>
    <row r="428" spans="1:8" x14ac:dyDescent="0.2">
      <c r="A428" s="43">
        <v>764000</v>
      </c>
      <c r="B428" s="43">
        <v>202109</v>
      </c>
      <c r="C428" s="44">
        <v>14500</v>
      </c>
      <c r="D428" s="44">
        <v>1</v>
      </c>
      <c r="H428" s="45">
        <v>1</v>
      </c>
    </row>
    <row r="429" spans="1:8" x14ac:dyDescent="0.2">
      <c r="A429" s="43">
        <v>764000</v>
      </c>
      <c r="B429" s="43">
        <v>202110</v>
      </c>
      <c r="C429" s="44">
        <v>14500</v>
      </c>
      <c r="D429" s="44">
        <v>1</v>
      </c>
      <c r="H429" s="45">
        <v>1</v>
      </c>
    </row>
    <row r="430" spans="1:8" x14ac:dyDescent="0.2">
      <c r="A430" s="43">
        <v>764000</v>
      </c>
      <c r="B430" s="43">
        <v>202111</v>
      </c>
      <c r="C430" s="44">
        <v>14500</v>
      </c>
      <c r="D430" s="44">
        <v>1</v>
      </c>
      <c r="H430" s="45">
        <v>1</v>
      </c>
    </row>
    <row r="431" spans="1:8" x14ac:dyDescent="0.2">
      <c r="A431" s="43">
        <v>764000</v>
      </c>
      <c r="B431" s="43">
        <v>202112</v>
      </c>
      <c r="C431" s="44">
        <v>14500</v>
      </c>
      <c r="D431" s="44">
        <v>1</v>
      </c>
      <c r="F431" s="67" cm="1">
        <f t="array" ref="F431">SUM(D420:D431/12)</f>
        <v>1</v>
      </c>
      <c r="H431" s="45">
        <v>1</v>
      </c>
    </row>
    <row r="432" spans="1:8" x14ac:dyDescent="0.2">
      <c r="A432" s="46" t="s">
        <v>764</v>
      </c>
      <c r="B432" s="43"/>
      <c r="C432" s="47">
        <f>SUM(C420:C431)</f>
        <v>179839.92</v>
      </c>
      <c r="H432" s="45"/>
    </row>
    <row r="433" spans="1:8" x14ac:dyDescent="0.2">
      <c r="A433" s="43">
        <v>770000</v>
      </c>
      <c r="B433" s="43">
        <v>202101</v>
      </c>
      <c r="C433" s="44">
        <v>49072.08</v>
      </c>
      <c r="D433" s="44">
        <v>2</v>
      </c>
      <c r="H433" s="45">
        <v>2</v>
      </c>
    </row>
    <row r="434" spans="1:8" x14ac:dyDescent="0.2">
      <c r="A434" s="43">
        <v>770000</v>
      </c>
      <c r="B434" s="43">
        <v>202102</v>
      </c>
      <c r="C434" s="44">
        <v>44642.080000000002</v>
      </c>
      <c r="D434" s="44">
        <v>2</v>
      </c>
      <c r="H434" s="45">
        <v>2</v>
      </c>
    </row>
    <row r="435" spans="1:8" x14ac:dyDescent="0.2">
      <c r="A435" s="43">
        <v>770000</v>
      </c>
      <c r="B435" s="43">
        <v>202103</v>
      </c>
      <c r="C435" s="44">
        <v>44612.76</v>
      </c>
      <c r="D435" s="44">
        <v>2</v>
      </c>
      <c r="H435" s="45">
        <v>2</v>
      </c>
    </row>
    <row r="436" spans="1:8" x14ac:dyDescent="0.2">
      <c r="A436" s="43">
        <v>770000</v>
      </c>
      <c r="B436" s="43">
        <v>202104</v>
      </c>
      <c r="C436" s="44">
        <v>47026.67</v>
      </c>
      <c r="D436" s="44">
        <v>2</v>
      </c>
      <c r="H436" s="45">
        <v>2</v>
      </c>
    </row>
    <row r="437" spans="1:8" x14ac:dyDescent="0.2">
      <c r="A437" s="43">
        <v>770000</v>
      </c>
      <c r="B437" s="43">
        <v>202105</v>
      </c>
      <c r="C437" s="44">
        <v>45186.62</v>
      </c>
      <c r="D437" s="44">
        <v>2</v>
      </c>
      <c r="H437" s="45">
        <v>2</v>
      </c>
    </row>
    <row r="438" spans="1:8" x14ac:dyDescent="0.2">
      <c r="A438" s="43">
        <v>770000</v>
      </c>
      <c r="B438" s="43">
        <v>202106</v>
      </c>
      <c r="C438" s="44">
        <v>57984.22</v>
      </c>
      <c r="D438" s="44">
        <v>2</v>
      </c>
      <c r="H438" s="45">
        <v>2</v>
      </c>
    </row>
    <row r="439" spans="1:8" x14ac:dyDescent="0.2">
      <c r="A439" s="43">
        <v>770000</v>
      </c>
      <c r="B439" s="43">
        <v>202107</v>
      </c>
      <c r="C439" s="44">
        <v>49833.59</v>
      </c>
      <c r="D439" s="44">
        <v>2</v>
      </c>
      <c r="H439" s="45">
        <v>2</v>
      </c>
    </row>
    <row r="440" spans="1:8" x14ac:dyDescent="0.2">
      <c r="A440" s="43">
        <v>770000</v>
      </c>
      <c r="B440" s="43">
        <v>202108</v>
      </c>
      <c r="C440" s="44">
        <v>45000</v>
      </c>
      <c r="D440" s="44">
        <v>2</v>
      </c>
      <c r="H440" s="45">
        <v>2</v>
      </c>
    </row>
    <row r="441" spans="1:8" x14ac:dyDescent="0.2">
      <c r="A441" s="43">
        <v>770000</v>
      </c>
      <c r="B441" s="43">
        <v>202109</v>
      </c>
      <c r="C441" s="44">
        <v>45000</v>
      </c>
      <c r="D441" s="44">
        <v>2</v>
      </c>
      <c r="H441" s="45">
        <v>2</v>
      </c>
    </row>
    <row r="442" spans="1:8" x14ac:dyDescent="0.2">
      <c r="A442" s="43">
        <v>770000</v>
      </c>
      <c r="B442" s="43">
        <v>202110</v>
      </c>
      <c r="C442" s="44">
        <v>45000</v>
      </c>
      <c r="D442" s="44">
        <v>2</v>
      </c>
      <c r="H442" s="45">
        <v>2</v>
      </c>
    </row>
    <row r="443" spans="1:8" x14ac:dyDescent="0.2">
      <c r="A443" s="43">
        <v>770000</v>
      </c>
      <c r="B443" s="43">
        <v>202111</v>
      </c>
      <c r="C443" s="44">
        <v>45000</v>
      </c>
      <c r="D443" s="44">
        <v>2</v>
      </c>
      <c r="H443" s="45">
        <v>2</v>
      </c>
    </row>
    <row r="444" spans="1:8" x14ac:dyDescent="0.2">
      <c r="A444" s="43">
        <v>770000</v>
      </c>
      <c r="B444" s="43">
        <v>202112</v>
      </c>
      <c r="C444" s="44">
        <v>45000</v>
      </c>
      <c r="D444" s="44">
        <v>2</v>
      </c>
      <c r="F444" s="67" cm="1">
        <f t="array" ref="F444">SUM(D433:D444/12)</f>
        <v>2</v>
      </c>
      <c r="H444" s="45">
        <v>2</v>
      </c>
    </row>
    <row r="445" spans="1:8" x14ac:dyDescent="0.2">
      <c r="A445" s="46" t="s">
        <v>765</v>
      </c>
      <c r="B445" s="43"/>
      <c r="C445" s="47">
        <f>SUM(C433:C444)</f>
        <v>563358.02</v>
      </c>
      <c r="H445" s="45"/>
    </row>
    <row r="446" spans="1:8" x14ac:dyDescent="0.2">
      <c r="A446" s="43">
        <v>772000</v>
      </c>
      <c r="B446" s="43">
        <v>202102</v>
      </c>
      <c r="C446" s="44">
        <v>24453.66</v>
      </c>
      <c r="D446" s="44">
        <v>1.8</v>
      </c>
      <c r="H446" s="45">
        <v>2</v>
      </c>
    </row>
    <row r="447" spans="1:8" x14ac:dyDescent="0.2">
      <c r="A447" s="43">
        <v>772000</v>
      </c>
      <c r="B447" s="43">
        <v>202103</v>
      </c>
      <c r="C447" s="44">
        <v>39205.94</v>
      </c>
      <c r="D447" s="44">
        <v>2.8</v>
      </c>
      <c r="H447" s="45">
        <v>3</v>
      </c>
    </row>
    <row r="448" spans="1:8" x14ac:dyDescent="0.2">
      <c r="A448" s="43">
        <v>772000</v>
      </c>
      <c r="B448" s="43">
        <v>202104</v>
      </c>
      <c r="C448" s="44">
        <v>57128.6</v>
      </c>
      <c r="D448" s="44">
        <v>4</v>
      </c>
      <c r="H448" s="45">
        <v>4</v>
      </c>
    </row>
    <row r="449" spans="1:8" x14ac:dyDescent="0.2">
      <c r="A449" s="43">
        <v>772000</v>
      </c>
      <c r="B449" s="43">
        <v>202105</v>
      </c>
      <c r="C449" s="44">
        <v>58954.12</v>
      </c>
      <c r="D449" s="44">
        <v>4</v>
      </c>
      <c r="H449" s="45">
        <v>4</v>
      </c>
    </row>
    <row r="450" spans="1:8" x14ac:dyDescent="0.2">
      <c r="A450" s="43">
        <v>772000</v>
      </c>
      <c r="B450" s="43">
        <v>202106</v>
      </c>
      <c r="C450" s="44">
        <v>79708.3</v>
      </c>
      <c r="D450" s="44">
        <v>4</v>
      </c>
      <c r="H450" s="45">
        <v>4</v>
      </c>
    </row>
    <row r="451" spans="1:8" x14ac:dyDescent="0.2">
      <c r="A451" s="43">
        <v>772000</v>
      </c>
      <c r="B451" s="43">
        <v>202107</v>
      </c>
      <c r="C451" s="44">
        <v>71553.53</v>
      </c>
      <c r="D451" s="44">
        <v>4</v>
      </c>
      <c r="H451" s="45">
        <v>4</v>
      </c>
    </row>
    <row r="452" spans="1:8" x14ac:dyDescent="0.2">
      <c r="A452" s="43">
        <v>772000</v>
      </c>
      <c r="B452" s="43">
        <v>202108</v>
      </c>
      <c r="C452" s="44">
        <v>60000</v>
      </c>
      <c r="D452" s="44">
        <v>4</v>
      </c>
      <c r="H452" s="45">
        <v>4</v>
      </c>
    </row>
    <row r="453" spans="1:8" x14ac:dyDescent="0.2">
      <c r="A453" s="43">
        <v>772000</v>
      </c>
      <c r="B453" s="43">
        <v>202109</v>
      </c>
      <c r="C453" s="44">
        <v>60000</v>
      </c>
      <c r="D453" s="44">
        <v>4</v>
      </c>
      <c r="H453" s="45">
        <v>4</v>
      </c>
    </row>
    <row r="454" spans="1:8" x14ac:dyDescent="0.2">
      <c r="A454" s="43">
        <v>772000</v>
      </c>
      <c r="B454" s="43">
        <v>202110</v>
      </c>
      <c r="C454" s="44">
        <v>60000</v>
      </c>
      <c r="D454" s="44">
        <v>4</v>
      </c>
      <c r="H454" s="45">
        <v>4</v>
      </c>
    </row>
    <row r="455" spans="1:8" x14ac:dyDescent="0.2">
      <c r="A455" s="43">
        <v>772000</v>
      </c>
      <c r="B455" s="43">
        <v>202111</v>
      </c>
      <c r="C455" s="44">
        <v>60000</v>
      </c>
      <c r="D455" s="44">
        <v>4</v>
      </c>
      <c r="H455" s="45">
        <v>4</v>
      </c>
    </row>
    <row r="456" spans="1:8" x14ac:dyDescent="0.2">
      <c r="A456" s="43">
        <v>772000</v>
      </c>
      <c r="B456" s="43">
        <v>202112</v>
      </c>
      <c r="C456" s="44">
        <v>60000</v>
      </c>
      <c r="D456" s="44">
        <v>4</v>
      </c>
      <c r="F456" s="67" cm="1">
        <f t="array" ref="F456">SUM(D445:D456/12)</f>
        <v>3.3833333333333337</v>
      </c>
      <c r="H456" s="45">
        <v>4</v>
      </c>
    </row>
    <row r="457" spans="1:8" x14ac:dyDescent="0.2">
      <c r="A457" s="46" t="s">
        <v>766</v>
      </c>
      <c r="B457" s="43"/>
      <c r="C457" s="47">
        <f>SUM(C446:C456)</f>
        <v>631004.15</v>
      </c>
      <c r="H457" s="45">
        <v>4</v>
      </c>
    </row>
    <row r="458" spans="1:8" x14ac:dyDescent="0.2">
      <c r="A458" s="43">
        <v>781000</v>
      </c>
      <c r="B458" s="43">
        <v>202101</v>
      </c>
      <c r="C458" s="44">
        <v>139928.93</v>
      </c>
      <c r="D458" s="44">
        <v>9</v>
      </c>
      <c r="H458" s="45">
        <v>10</v>
      </c>
    </row>
    <row r="459" spans="1:8" x14ac:dyDescent="0.2">
      <c r="A459" s="43">
        <v>781000</v>
      </c>
      <c r="B459" s="43">
        <v>202102</v>
      </c>
      <c r="C459" s="44">
        <v>175657.61</v>
      </c>
      <c r="D459" s="44">
        <v>11.339</v>
      </c>
      <c r="H459" s="45">
        <v>12</v>
      </c>
    </row>
    <row r="460" spans="1:8" x14ac:dyDescent="0.2">
      <c r="A460" s="43">
        <v>781000</v>
      </c>
      <c r="B460" s="43">
        <v>202103</v>
      </c>
      <c r="C460" s="44">
        <v>199842.37</v>
      </c>
      <c r="D460" s="44">
        <v>11.5</v>
      </c>
      <c r="H460" s="45">
        <v>12</v>
      </c>
    </row>
    <row r="461" spans="1:8" x14ac:dyDescent="0.2">
      <c r="A461" s="43">
        <v>781000</v>
      </c>
      <c r="B461" s="43">
        <v>202104</v>
      </c>
      <c r="C461" s="44">
        <v>188607.03</v>
      </c>
      <c r="D461" s="44">
        <v>11.5</v>
      </c>
      <c r="H461" s="45">
        <v>12</v>
      </c>
    </row>
    <row r="462" spans="1:8" x14ac:dyDescent="0.2">
      <c r="A462" s="43">
        <v>781000</v>
      </c>
      <c r="B462" s="43">
        <v>202105</v>
      </c>
      <c r="C462" s="44">
        <v>198307.41</v>
      </c>
      <c r="D462" s="44">
        <v>11.5</v>
      </c>
      <c r="H462" s="45">
        <v>12</v>
      </c>
    </row>
    <row r="463" spans="1:8" x14ac:dyDescent="0.2">
      <c r="A463" s="43">
        <v>781000</v>
      </c>
      <c r="B463" s="43">
        <v>202106</v>
      </c>
      <c r="C463" s="44">
        <v>256343.34</v>
      </c>
      <c r="D463" s="44">
        <v>11</v>
      </c>
      <c r="H463" s="45">
        <v>12</v>
      </c>
    </row>
    <row r="464" spans="1:8" x14ac:dyDescent="0.2">
      <c r="A464" s="43">
        <v>781000</v>
      </c>
      <c r="B464" s="43">
        <v>202107</v>
      </c>
      <c r="C464" s="44">
        <v>203253.54</v>
      </c>
      <c r="D464" s="44">
        <v>10</v>
      </c>
      <c r="H464" s="45">
        <v>11</v>
      </c>
    </row>
    <row r="465" spans="1:8" x14ac:dyDescent="0.2">
      <c r="A465" s="43">
        <v>781000</v>
      </c>
      <c r="B465" s="43">
        <v>202108</v>
      </c>
      <c r="C465" s="44">
        <v>198000</v>
      </c>
      <c r="D465" s="44">
        <v>10</v>
      </c>
      <c r="H465" s="45">
        <v>10</v>
      </c>
    </row>
    <row r="466" spans="1:8" x14ac:dyDescent="0.2">
      <c r="A466" s="43">
        <v>781000</v>
      </c>
      <c r="B466" s="43">
        <v>202109</v>
      </c>
      <c r="C466" s="44">
        <f>198000+13500</f>
        <v>211500</v>
      </c>
      <c r="D466" s="44">
        <v>10</v>
      </c>
      <c r="H466" s="45">
        <v>10</v>
      </c>
    </row>
    <row r="467" spans="1:8" x14ac:dyDescent="0.2">
      <c r="A467" s="43">
        <v>781000</v>
      </c>
      <c r="B467" s="43">
        <v>202110</v>
      </c>
      <c r="C467" s="44">
        <v>198000</v>
      </c>
      <c r="D467" s="44">
        <v>10</v>
      </c>
      <c r="H467" s="45">
        <v>10</v>
      </c>
    </row>
    <row r="468" spans="1:8" x14ac:dyDescent="0.2">
      <c r="A468" s="43">
        <v>781000</v>
      </c>
      <c r="B468" s="43">
        <v>202111</v>
      </c>
      <c r="C468" s="44">
        <v>198000</v>
      </c>
      <c r="D468" s="44">
        <v>10</v>
      </c>
      <c r="H468" s="45">
        <v>10</v>
      </c>
    </row>
    <row r="469" spans="1:8" x14ac:dyDescent="0.2">
      <c r="A469" s="43">
        <v>781000</v>
      </c>
      <c r="B469" s="43">
        <v>202112</v>
      </c>
      <c r="C469" s="44">
        <v>198000</v>
      </c>
      <c r="D469" s="44">
        <v>10</v>
      </c>
      <c r="F469" s="67" cm="1">
        <f t="array" ref="F469">SUM(D458:D469/12)</f>
        <v>10.486583333333334</v>
      </c>
      <c r="H469" s="45">
        <v>10</v>
      </c>
    </row>
    <row r="470" spans="1:8" x14ac:dyDescent="0.2">
      <c r="A470" s="46" t="s">
        <v>767</v>
      </c>
      <c r="B470" s="43"/>
      <c r="C470" s="47">
        <f>SUM(C458:C469)</f>
        <v>2365440.23</v>
      </c>
      <c r="H470" s="45"/>
    </row>
    <row r="471" spans="1:8" x14ac:dyDescent="0.2">
      <c r="A471" s="43">
        <v>781100</v>
      </c>
      <c r="B471" s="43">
        <v>202101</v>
      </c>
      <c r="C471" s="44">
        <v>82759.16</v>
      </c>
      <c r="D471" s="44">
        <v>4</v>
      </c>
      <c r="H471" s="45">
        <v>4</v>
      </c>
    </row>
    <row r="472" spans="1:8" x14ac:dyDescent="0.2">
      <c r="A472" s="43">
        <v>781100</v>
      </c>
      <c r="B472" s="43">
        <v>202102</v>
      </c>
      <c r="C472" s="44">
        <v>58166.51</v>
      </c>
      <c r="D472" s="44">
        <v>2</v>
      </c>
      <c r="H472" s="45">
        <v>4</v>
      </c>
    </row>
    <row r="473" spans="1:8" x14ac:dyDescent="0.2">
      <c r="A473" s="43">
        <v>781100</v>
      </c>
      <c r="B473" s="43">
        <v>202103</v>
      </c>
      <c r="C473" s="44">
        <v>53957.87</v>
      </c>
      <c r="D473" s="44">
        <v>2</v>
      </c>
      <c r="H473" s="45">
        <v>2</v>
      </c>
    </row>
    <row r="474" spans="1:8" x14ac:dyDescent="0.2">
      <c r="A474" s="43">
        <v>781100</v>
      </c>
      <c r="B474" s="43">
        <v>202104</v>
      </c>
      <c r="C474" s="44">
        <v>43562.52</v>
      </c>
      <c r="D474" s="44">
        <v>2</v>
      </c>
      <c r="H474" s="45">
        <v>2</v>
      </c>
    </row>
    <row r="475" spans="1:8" x14ac:dyDescent="0.2">
      <c r="A475" s="43">
        <v>781100</v>
      </c>
      <c r="B475" s="43">
        <v>202105</v>
      </c>
      <c r="C475" s="44">
        <v>51868.86</v>
      </c>
      <c r="D475" s="44">
        <v>2</v>
      </c>
      <c r="H475" s="45">
        <v>2</v>
      </c>
    </row>
    <row r="476" spans="1:8" x14ac:dyDescent="0.2">
      <c r="A476" s="43">
        <v>781100</v>
      </c>
      <c r="B476" s="43">
        <v>202106</v>
      </c>
      <c r="C476" s="44">
        <v>60334.54</v>
      </c>
      <c r="D476" s="44">
        <v>2</v>
      </c>
      <c r="H476" s="45">
        <v>2</v>
      </c>
    </row>
    <row r="477" spans="1:8" x14ac:dyDescent="0.2">
      <c r="A477" s="43">
        <v>781100</v>
      </c>
      <c r="B477" s="43">
        <v>202107</v>
      </c>
      <c r="C477" s="44">
        <f>51317.26+12000</f>
        <v>63317.26</v>
      </c>
      <c r="D477" s="44">
        <v>2</v>
      </c>
      <c r="H477" s="45">
        <v>2</v>
      </c>
    </row>
    <row r="478" spans="1:8" x14ac:dyDescent="0.2">
      <c r="A478" s="43">
        <v>781100</v>
      </c>
      <c r="B478" s="43">
        <v>202108</v>
      </c>
      <c r="C478" s="44">
        <v>44000</v>
      </c>
      <c r="D478" s="44">
        <v>2</v>
      </c>
      <c r="H478" s="45">
        <v>2</v>
      </c>
    </row>
    <row r="479" spans="1:8" x14ac:dyDescent="0.2">
      <c r="A479" s="43">
        <v>781100</v>
      </c>
      <c r="B479" s="43">
        <v>202109</v>
      </c>
      <c r="C479" s="44">
        <v>44000</v>
      </c>
      <c r="D479" s="44">
        <v>2</v>
      </c>
      <c r="H479" s="45">
        <v>2</v>
      </c>
    </row>
    <row r="480" spans="1:8" x14ac:dyDescent="0.2">
      <c r="A480" s="43">
        <v>781100</v>
      </c>
      <c r="B480" s="43">
        <v>202110</v>
      </c>
      <c r="C480" s="44">
        <v>44000</v>
      </c>
      <c r="D480" s="44">
        <v>2</v>
      </c>
      <c r="H480" s="45">
        <v>2</v>
      </c>
    </row>
    <row r="481" spans="1:8" x14ac:dyDescent="0.2">
      <c r="A481" s="43">
        <v>781100</v>
      </c>
      <c r="B481" s="43">
        <v>202111</v>
      </c>
      <c r="C481" s="44">
        <v>44000</v>
      </c>
      <c r="D481" s="44">
        <v>2</v>
      </c>
      <c r="H481" s="45">
        <v>2</v>
      </c>
    </row>
    <row r="482" spans="1:8" x14ac:dyDescent="0.2">
      <c r="A482" s="43">
        <v>781100</v>
      </c>
      <c r="B482" s="43">
        <v>202112</v>
      </c>
      <c r="C482" s="44">
        <v>44000</v>
      </c>
      <c r="D482" s="44">
        <v>2</v>
      </c>
      <c r="F482" s="67" cm="1">
        <f t="array" ref="F482">SUM(D471:D482/12)</f>
        <v>2.1666666666666665</v>
      </c>
      <c r="H482" s="45">
        <v>2</v>
      </c>
    </row>
    <row r="483" spans="1:8" x14ac:dyDescent="0.2">
      <c r="A483" s="46" t="s">
        <v>768</v>
      </c>
      <c r="B483" s="43"/>
      <c r="C483" s="47">
        <f>SUM(C471:C482)</f>
        <v>633966.72</v>
      </c>
      <c r="H483" s="45"/>
    </row>
    <row r="484" spans="1:8" x14ac:dyDescent="0.2">
      <c r="A484" s="43">
        <v>811000</v>
      </c>
      <c r="B484" s="43">
        <v>202101</v>
      </c>
      <c r="C484" s="44">
        <v>259114.74</v>
      </c>
      <c r="D484" s="44">
        <v>13.65</v>
      </c>
      <c r="H484" s="45">
        <v>14</v>
      </c>
    </row>
    <row r="485" spans="1:8" x14ac:dyDescent="0.2">
      <c r="A485" s="43">
        <v>811000</v>
      </c>
      <c r="B485" s="43">
        <v>202102</v>
      </c>
      <c r="C485" s="44">
        <v>265415.92</v>
      </c>
      <c r="D485" s="44">
        <v>13.65</v>
      </c>
      <c r="H485" s="45">
        <v>14</v>
      </c>
    </row>
    <row r="486" spans="1:8" x14ac:dyDescent="0.2">
      <c r="A486" s="43">
        <v>811000</v>
      </c>
      <c r="B486" s="43">
        <v>202103</v>
      </c>
      <c r="C486" s="44">
        <v>259179.03</v>
      </c>
      <c r="D486" s="44">
        <v>13.65</v>
      </c>
      <c r="H486" s="45">
        <v>14</v>
      </c>
    </row>
    <row r="487" spans="1:8" x14ac:dyDescent="0.2">
      <c r="A487" s="43">
        <v>811000</v>
      </c>
      <c r="B487" s="43">
        <v>202104</v>
      </c>
      <c r="C487" s="44">
        <v>256132.14</v>
      </c>
      <c r="D487" s="44">
        <v>13.65</v>
      </c>
      <c r="H487" s="45">
        <v>14</v>
      </c>
    </row>
    <row r="488" spans="1:8" x14ac:dyDescent="0.2">
      <c r="A488" s="43">
        <v>811000</v>
      </c>
      <c r="B488" s="43">
        <v>202105</v>
      </c>
      <c r="C488" s="44">
        <v>261917.88</v>
      </c>
      <c r="D488" s="44">
        <v>13.65</v>
      </c>
      <c r="H488" s="45">
        <v>14</v>
      </c>
    </row>
    <row r="489" spans="1:8" x14ac:dyDescent="0.2">
      <c r="A489" s="43">
        <v>811000</v>
      </c>
      <c r="B489" s="43">
        <v>202106</v>
      </c>
      <c r="C489" s="44">
        <v>384171.38</v>
      </c>
      <c r="D489" s="44">
        <v>15.65</v>
      </c>
      <c r="H489" s="45">
        <v>17</v>
      </c>
    </row>
    <row r="490" spans="1:8" x14ac:dyDescent="0.2">
      <c r="A490" s="43">
        <v>811000</v>
      </c>
      <c r="B490" s="43">
        <v>202107</v>
      </c>
      <c r="C490" s="44">
        <v>295593.90999999997</v>
      </c>
      <c r="D490" s="44">
        <v>14.65</v>
      </c>
      <c r="H490" s="45">
        <v>16</v>
      </c>
    </row>
    <row r="491" spans="1:8" x14ac:dyDescent="0.2">
      <c r="A491" s="43">
        <v>811000</v>
      </c>
      <c r="B491" s="43">
        <v>202108</v>
      </c>
      <c r="C491" s="44">
        <v>260000</v>
      </c>
      <c r="D491" s="44">
        <v>14.65</v>
      </c>
      <c r="H491" s="45">
        <v>16</v>
      </c>
    </row>
    <row r="492" spans="1:8" x14ac:dyDescent="0.2">
      <c r="A492" s="43">
        <v>811000</v>
      </c>
      <c r="B492" s="43">
        <v>202109</v>
      </c>
      <c r="C492" s="44">
        <f>260000+17000</f>
        <v>277000</v>
      </c>
      <c r="D492" s="44">
        <v>14.65</v>
      </c>
      <c r="H492" s="45">
        <v>16</v>
      </c>
    </row>
    <row r="493" spans="1:8" x14ac:dyDescent="0.2">
      <c r="A493" s="43">
        <v>811000</v>
      </c>
      <c r="B493" s="43">
        <v>202110</v>
      </c>
      <c r="C493" s="44">
        <v>260000</v>
      </c>
      <c r="D493" s="44">
        <v>14.65</v>
      </c>
      <c r="H493" s="45">
        <v>16</v>
      </c>
    </row>
    <row r="494" spans="1:8" x14ac:dyDescent="0.2">
      <c r="A494" s="43">
        <v>811000</v>
      </c>
      <c r="B494" s="43">
        <v>202111</v>
      </c>
      <c r="C494" s="44">
        <v>260000</v>
      </c>
      <c r="D494" s="44">
        <v>14.65</v>
      </c>
      <c r="H494" s="45">
        <v>16</v>
      </c>
    </row>
    <row r="495" spans="1:8" x14ac:dyDescent="0.2">
      <c r="A495" s="43">
        <v>811000</v>
      </c>
      <c r="B495" s="43">
        <v>202112</v>
      </c>
      <c r="C495" s="44">
        <v>260000</v>
      </c>
      <c r="D495" s="44">
        <v>14.65</v>
      </c>
      <c r="F495" s="67" cm="1">
        <f t="array" ref="F495">SUM(D484:D495/12)</f>
        <v>14.316666666666666</v>
      </c>
      <c r="H495" s="45">
        <v>16</v>
      </c>
    </row>
    <row r="496" spans="1:8" x14ac:dyDescent="0.2">
      <c r="A496" s="46" t="s">
        <v>769</v>
      </c>
      <c r="B496" s="43"/>
      <c r="C496" s="47">
        <f>SUM(C484:C495)</f>
        <v>3298525</v>
      </c>
      <c r="H496" s="45"/>
    </row>
    <row r="497" spans="1:8" x14ac:dyDescent="0.2">
      <c r="A497" s="43">
        <v>812200</v>
      </c>
      <c r="B497" s="43">
        <v>202101</v>
      </c>
      <c r="C497" s="44">
        <v>307422.93</v>
      </c>
      <c r="D497" s="44">
        <v>32.494</v>
      </c>
      <c r="H497" s="45">
        <v>35</v>
      </c>
    </row>
    <row r="498" spans="1:8" x14ac:dyDescent="0.2">
      <c r="A498" s="43">
        <v>812200</v>
      </c>
      <c r="B498" s="43">
        <v>202102</v>
      </c>
      <c r="C498" s="44">
        <v>328748.21999999997</v>
      </c>
      <c r="D498" s="44">
        <v>32.494</v>
      </c>
      <c r="H498" s="45">
        <v>35</v>
      </c>
    </row>
    <row r="499" spans="1:8" x14ac:dyDescent="0.2">
      <c r="A499" s="43">
        <v>812200</v>
      </c>
      <c r="B499" s="43">
        <v>202103</v>
      </c>
      <c r="C499" s="44">
        <v>331242.32</v>
      </c>
      <c r="D499" s="44">
        <v>32.073999999999998</v>
      </c>
      <c r="H499" s="45">
        <v>35</v>
      </c>
    </row>
    <row r="500" spans="1:8" x14ac:dyDescent="0.2">
      <c r="A500" s="43">
        <v>812200</v>
      </c>
      <c r="B500" s="43">
        <v>202104</v>
      </c>
      <c r="C500" s="44">
        <v>346737.49</v>
      </c>
      <c r="D500" s="44">
        <v>32.073999999999998</v>
      </c>
      <c r="H500" s="45">
        <v>34</v>
      </c>
    </row>
    <row r="501" spans="1:8" x14ac:dyDescent="0.2">
      <c r="A501" s="43">
        <v>812200</v>
      </c>
      <c r="B501" s="43">
        <v>202105</v>
      </c>
      <c r="C501" s="44">
        <v>351121.3</v>
      </c>
      <c r="D501" s="44">
        <v>32.073999999999998</v>
      </c>
      <c r="H501" s="45">
        <v>34</v>
      </c>
    </row>
    <row r="502" spans="1:8" x14ac:dyDescent="0.2">
      <c r="A502" s="43">
        <v>812200</v>
      </c>
      <c r="B502" s="43">
        <v>202106</v>
      </c>
      <c r="C502" s="44">
        <v>546321.78</v>
      </c>
      <c r="D502" s="44">
        <v>32.073999999999998</v>
      </c>
      <c r="H502" s="45">
        <v>34</v>
      </c>
    </row>
    <row r="503" spans="1:8" x14ac:dyDescent="0.2">
      <c r="A503" s="43">
        <v>812200</v>
      </c>
      <c r="B503" s="43">
        <v>202107</v>
      </c>
      <c r="C503" s="44">
        <v>433053.23</v>
      </c>
      <c r="D503" s="44">
        <v>32.073999999999998</v>
      </c>
      <c r="H503" s="45">
        <v>35</v>
      </c>
    </row>
    <row r="504" spans="1:8" x14ac:dyDescent="0.2">
      <c r="A504" s="43">
        <v>812200</v>
      </c>
      <c r="B504" s="43">
        <v>202108</v>
      </c>
      <c r="C504" s="44">
        <v>340000</v>
      </c>
      <c r="D504" s="44">
        <v>32.073999999999998</v>
      </c>
      <c r="H504" s="45">
        <v>35</v>
      </c>
    </row>
    <row r="505" spans="1:8" x14ac:dyDescent="0.2">
      <c r="A505" s="43">
        <v>812200</v>
      </c>
      <c r="B505" s="43">
        <v>202109</v>
      </c>
      <c r="C505" s="44">
        <f>340000+6000</f>
        <v>346000</v>
      </c>
      <c r="D505" s="44">
        <v>32.073999999999998</v>
      </c>
      <c r="H505" s="45">
        <v>35</v>
      </c>
    </row>
    <row r="506" spans="1:8" x14ac:dyDescent="0.2">
      <c r="A506" s="43">
        <v>812200</v>
      </c>
      <c r="B506" s="43">
        <v>202110</v>
      </c>
      <c r="C506" s="44">
        <v>340000</v>
      </c>
      <c r="D506" s="44">
        <v>32.073999999999998</v>
      </c>
      <c r="H506" s="45">
        <v>35</v>
      </c>
    </row>
    <row r="507" spans="1:8" x14ac:dyDescent="0.2">
      <c r="A507" s="43">
        <v>812200</v>
      </c>
      <c r="B507" s="43">
        <v>202111</v>
      </c>
      <c r="C507" s="44">
        <v>345000</v>
      </c>
      <c r="D507" s="44">
        <v>32.073999999999998</v>
      </c>
      <c r="H507" s="45">
        <v>35</v>
      </c>
    </row>
    <row r="508" spans="1:8" x14ac:dyDescent="0.2">
      <c r="A508" s="43">
        <v>812200</v>
      </c>
      <c r="B508" s="43">
        <v>202112</v>
      </c>
      <c r="C508" s="44">
        <v>345000</v>
      </c>
      <c r="D508" s="44">
        <v>32.073999999999998</v>
      </c>
      <c r="F508" s="67" cm="1">
        <f t="array" ref="F508">SUM(D497:D508/12)</f>
        <v>32.143999999999998</v>
      </c>
      <c r="H508" s="45">
        <v>35</v>
      </c>
    </row>
    <row r="509" spans="1:8" x14ac:dyDescent="0.2">
      <c r="A509" s="46" t="s">
        <v>770</v>
      </c>
      <c r="B509" s="43"/>
      <c r="C509" s="47">
        <f>SUM(C497:C508)</f>
        <v>4360647.2699999996</v>
      </c>
      <c r="H509" s="45"/>
    </row>
    <row r="510" spans="1:8" x14ac:dyDescent="0.2">
      <c r="A510" s="43">
        <v>812210</v>
      </c>
      <c r="B510" s="43">
        <v>202101</v>
      </c>
      <c r="C510" s="44">
        <v>279625.37</v>
      </c>
      <c r="D510" s="44">
        <v>32.299999999999997</v>
      </c>
      <c r="H510" s="45">
        <v>38</v>
      </c>
    </row>
    <row r="511" spans="1:8" x14ac:dyDescent="0.2">
      <c r="A511" s="43">
        <v>812210</v>
      </c>
      <c r="B511" s="43">
        <v>202102</v>
      </c>
      <c r="C511" s="44">
        <v>298444.19</v>
      </c>
      <c r="D511" s="44">
        <v>31.3</v>
      </c>
      <c r="H511" s="45">
        <v>38</v>
      </c>
    </row>
    <row r="512" spans="1:8" x14ac:dyDescent="0.2">
      <c r="A512" s="43">
        <v>812210</v>
      </c>
      <c r="B512" s="43">
        <v>202103</v>
      </c>
      <c r="C512" s="44">
        <v>302698.74</v>
      </c>
      <c r="D512" s="44">
        <v>31.3</v>
      </c>
      <c r="H512" s="45">
        <v>38</v>
      </c>
    </row>
    <row r="513" spans="1:8" x14ac:dyDescent="0.2">
      <c r="A513" s="43">
        <v>812210</v>
      </c>
      <c r="B513" s="43">
        <v>202104</v>
      </c>
      <c r="C513" s="44">
        <v>308841</v>
      </c>
      <c r="D513" s="44">
        <v>31.3</v>
      </c>
      <c r="H513" s="45">
        <v>38</v>
      </c>
    </row>
    <row r="514" spans="1:8" x14ac:dyDescent="0.2">
      <c r="A514" s="43">
        <v>812210</v>
      </c>
      <c r="B514" s="43">
        <v>202105</v>
      </c>
      <c r="C514" s="44">
        <v>323288.39</v>
      </c>
      <c r="D514" s="44">
        <v>31.3</v>
      </c>
      <c r="H514" s="45">
        <v>38</v>
      </c>
    </row>
    <row r="515" spans="1:8" x14ac:dyDescent="0.2">
      <c r="A515" s="43">
        <v>812210</v>
      </c>
      <c r="B515" s="43">
        <v>202106</v>
      </c>
      <c r="C515" s="44">
        <v>479214.55</v>
      </c>
      <c r="D515" s="44">
        <v>31.3</v>
      </c>
      <c r="H515" s="45">
        <v>38</v>
      </c>
    </row>
    <row r="516" spans="1:8" x14ac:dyDescent="0.2">
      <c r="A516" s="43">
        <v>812210</v>
      </c>
      <c r="B516" s="43">
        <v>202107</v>
      </c>
      <c r="C516" s="44">
        <v>380347.09</v>
      </c>
      <c r="D516" s="44">
        <v>31.3</v>
      </c>
      <c r="H516" s="45">
        <v>38</v>
      </c>
    </row>
    <row r="517" spans="1:8" x14ac:dyDescent="0.2">
      <c r="A517" s="43">
        <v>812210</v>
      </c>
      <c r="B517" s="43">
        <v>202108</v>
      </c>
      <c r="C517" s="44">
        <v>320000</v>
      </c>
      <c r="D517" s="44">
        <v>31.3</v>
      </c>
      <c r="H517" s="45">
        <v>38</v>
      </c>
    </row>
    <row r="518" spans="1:8" x14ac:dyDescent="0.2">
      <c r="A518" s="43">
        <v>812210</v>
      </c>
      <c r="B518" s="43">
        <v>202109</v>
      </c>
      <c r="C518" s="44">
        <f>320000+6000</f>
        <v>326000</v>
      </c>
      <c r="D518" s="44">
        <v>31.3</v>
      </c>
      <c r="H518" s="45">
        <v>38</v>
      </c>
    </row>
    <row r="519" spans="1:8" x14ac:dyDescent="0.2">
      <c r="A519" s="43">
        <v>812210</v>
      </c>
      <c r="B519" s="43">
        <v>202110</v>
      </c>
      <c r="C519" s="44">
        <v>320000</v>
      </c>
      <c r="D519" s="44">
        <v>31.3</v>
      </c>
      <c r="H519" s="45">
        <v>38</v>
      </c>
    </row>
    <row r="520" spans="1:8" x14ac:dyDescent="0.2">
      <c r="A520" s="43">
        <v>812210</v>
      </c>
      <c r="B520" s="43">
        <v>202111</v>
      </c>
      <c r="C520" s="44">
        <v>320000</v>
      </c>
      <c r="D520" s="44">
        <v>31.3</v>
      </c>
      <c r="H520" s="45">
        <v>38</v>
      </c>
    </row>
    <row r="521" spans="1:8" x14ac:dyDescent="0.2">
      <c r="A521" s="43">
        <v>812210</v>
      </c>
      <c r="B521" s="43">
        <v>202112</v>
      </c>
      <c r="C521" s="44">
        <v>320000</v>
      </c>
      <c r="D521" s="44">
        <v>31.3</v>
      </c>
      <c r="F521" s="67" cm="1">
        <f t="array" ref="F521">SUM(D510:D521/12)</f>
        <v>31.38333333333334</v>
      </c>
      <c r="H521" s="45">
        <v>38</v>
      </c>
    </row>
    <row r="522" spans="1:8" x14ac:dyDescent="0.2">
      <c r="A522" s="46" t="s">
        <v>771</v>
      </c>
      <c r="B522" s="43"/>
      <c r="C522" s="47">
        <f>SUM(C510:C521)</f>
        <v>3978459.33</v>
      </c>
      <c r="H522" s="45"/>
    </row>
    <row r="523" spans="1:8" x14ac:dyDescent="0.2">
      <c r="A523" s="43">
        <v>812300</v>
      </c>
      <c r="B523" s="43">
        <v>202101</v>
      </c>
      <c r="C523" s="44">
        <v>441525.5</v>
      </c>
      <c r="D523" s="44">
        <v>48.533999999999999</v>
      </c>
      <c r="H523" s="45">
        <v>51</v>
      </c>
    </row>
    <row r="524" spans="1:8" x14ac:dyDescent="0.2">
      <c r="A524" s="43">
        <v>812300</v>
      </c>
      <c r="B524" s="43">
        <v>202102</v>
      </c>
      <c r="C524" s="44">
        <v>464169.4</v>
      </c>
      <c r="D524" s="44">
        <v>48.533999999999999</v>
      </c>
      <c r="H524" s="45">
        <v>51</v>
      </c>
    </row>
    <row r="525" spans="1:8" x14ac:dyDescent="0.2">
      <c r="A525" s="43">
        <v>812300</v>
      </c>
      <c r="B525" s="43">
        <v>202103</v>
      </c>
      <c r="C525" s="44">
        <v>460611.5</v>
      </c>
      <c r="D525" s="44">
        <v>48.533999999999999</v>
      </c>
      <c r="H525" s="45">
        <v>51</v>
      </c>
    </row>
    <row r="526" spans="1:8" x14ac:dyDescent="0.2">
      <c r="A526" s="43">
        <v>812300</v>
      </c>
      <c r="B526" s="43">
        <v>202104</v>
      </c>
      <c r="C526" s="44">
        <v>486797.75</v>
      </c>
      <c r="D526" s="44">
        <v>48.533999999999999</v>
      </c>
      <c r="H526" s="45">
        <v>51</v>
      </c>
    </row>
    <row r="527" spans="1:8" x14ac:dyDescent="0.2">
      <c r="A527" s="43">
        <v>812300</v>
      </c>
      <c r="B527" s="43">
        <v>202105</v>
      </c>
      <c r="C527" s="44">
        <v>491797.52</v>
      </c>
      <c r="D527" s="44">
        <v>48.533999999999999</v>
      </c>
      <c r="H527" s="45">
        <v>52</v>
      </c>
    </row>
    <row r="528" spans="1:8" x14ac:dyDescent="0.2">
      <c r="A528" s="43">
        <v>812300</v>
      </c>
      <c r="B528" s="43">
        <v>202106</v>
      </c>
      <c r="C528" s="44">
        <v>775517.78</v>
      </c>
      <c r="D528" s="44">
        <v>48.533999999999999</v>
      </c>
      <c r="H528" s="45">
        <v>52</v>
      </c>
    </row>
    <row r="529" spans="1:8" x14ac:dyDescent="0.2">
      <c r="A529" s="43">
        <v>812300</v>
      </c>
      <c r="B529" s="43">
        <v>202107</v>
      </c>
      <c r="C529" s="44">
        <v>603097.41</v>
      </c>
      <c r="D529" s="44">
        <v>47.533999999999999</v>
      </c>
      <c r="H529" s="45">
        <v>51</v>
      </c>
    </row>
    <row r="530" spans="1:8" x14ac:dyDescent="0.2">
      <c r="A530" s="43">
        <v>812300</v>
      </c>
      <c r="B530" s="43">
        <v>202108</v>
      </c>
      <c r="C530" s="44">
        <v>485000</v>
      </c>
      <c r="D530" s="44">
        <v>47.533999999999999</v>
      </c>
      <c r="H530" s="45">
        <v>51</v>
      </c>
    </row>
    <row r="531" spans="1:8" x14ac:dyDescent="0.2">
      <c r="A531" s="43">
        <v>812300</v>
      </c>
      <c r="B531" s="43">
        <v>202109</v>
      </c>
      <c r="C531" s="44">
        <f>485000+35000</f>
        <v>520000</v>
      </c>
      <c r="D531" s="44">
        <v>47.533999999999999</v>
      </c>
      <c r="H531" s="45">
        <v>51</v>
      </c>
    </row>
    <row r="532" spans="1:8" x14ac:dyDescent="0.2">
      <c r="A532" s="43">
        <v>812300</v>
      </c>
      <c r="B532" s="43">
        <v>202110</v>
      </c>
      <c r="C532" s="44">
        <v>500000</v>
      </c>
      <c r="D532" s="44">
        <v>47.533999999999999</v>
      </c>
      <c r="H532" s="45">
        <v>51</v>
      </c>
    </row>
    <row r="533" spans="1:8" x14ac:dyDescent="0.2">
      <c r="A533" s="43">
        <v>812300</v>
      </c>
      <c r="B533" s="43">
        <v>202111</v>
      </c>
      <c r="C533" s="44">
        <v>490000</v>
      </c>
      <c r="D533" s="44">
        <v>47.533999999999999</v>
      </c>
      <c r="H533" s="45">
        <v>51</v>
      </c>
    </row>
    <row r="534" spans="1:8" x14ac:dyDescent="0.2">
      <c r="A534" s="43">
        <v>812300</v>
      </c>
      <c r="B534" s="43">
        <v>202112</v>
      </c>
      <c r="C534" s="44">
        <v>490000</v>
      </c>
      <c r="D534" s="44">
        <v>47.533999999999999</v>
      </c>
      <c r="F534" s="67" cm="1">
        <f t="array" ref="F534">SUM(D523:D534/12)</f>
        <v>48.033999999999985</v>
      </c>
      <c r="H534" s="45">
        <v>51</v>
      </c>
    </row>
    <row r="535" spans="1:8" x14ac:dyDescent="0.2">
      <c r="A535" s="46" t="s">
        <v>772</v>
      </c>
      <c r="B535" s="43"/>
      <c r="C535" s="47">
        <f>SUM(C523:C534)</f>
        <v>6208516.8600000003</v>
      </c>
      <c r="H535" s="45"/>
    </row>
    <row r="536" spans="1:8" x14ac:dyDescent="0.2">
      <c r="A536" s="43">
        <v>812310</v>
      </c>
      <c r="B536" s="43">
        <v>202101</v>
      </c>
      <c r="C536" s="44">
        <v>12851.92</v>
      </c>
      <c r="D536" s="44">
        <v>1</v>
      </c>
      <c r="H536" s="45">
        <v>1</v>
      </c>
    </row>
    <row r="537" spans="1:8" x14ac:dyDescent="0.2">
      <c r="A537" s="43">
        <v>812310</v>
      </c>
      <c r="B537" s="43">
        <v>202102</v>
      </c>
      <c r="C537" s="44">
        <v>12851.92</v>
      </c>
      <c r="D537" s="44">
        <v>1</v>
      </c>
      <c r="H537" s="45">
        <v>1</v>
      </c>
    </row>
    <row r="538" spans="1:8" x14ac:dyDescent="0.2">
      <c r="A538" s="43">
        <v>812310</v>
      </c>
      <c r="B538" s="43">
        <v>202103</v>
      </c>
      <c r="C538" s="44">
        <v>12849.05</v>
      </c>
      <c r="D538" s="44">
        <v>1</v>
      </c>
      <c r="H538" s="45">
        <v>1</v>
      </c>
    </row>
    <row r="539" spans="1:8" x14ac:dyDescent="0.2">
      <c r="A539" s="43">
        <v>812310</v>
      </c>
      <c r="B539" s="43">
        <v>202104</v>
      </c>
      <c r="C539" s="44">
        <v>12854.75</v>
      </c>
      <c r="D539" s="44">
        <v>1</v>
      </c>
      <c r="H539" s="45">
        <v>1</v>
      </c>
    </row>
    <row r="540" spans="1:8" x14ac:dyDescent="0.2">
      <c r="A540" s="43">
        <v>812310</v>
      </c>
      <c r="B540" s="43">
        <v>202105</v>
      </c>
      <c r="C540" s="44">
        <v>13419.15</v>
      </c>
      <c r="D540" s="44">
        <v>1</v>
      </c>
      <c r="H540" s="45">
        <v>1</v>
      </c>
    </row>
    <row r="541" spans="1:8" x14ac:dyDescent="0.2">
      <c r="A541" s="43">
        <v>812310</v>
      </c>
      <c r="B541" s="43">
        <v>202106</v>
      </c>
      <c r="C541" s="44">
        <v>26741.5</v>
      </c>
      <c r="D541" s="44">
        <v>1</v>
      </c>
      <c r="H541" s="45">
        <v>1</v>
      </c>
    </row>
    <row r="542" spans="1:8" x14ac:dyDescent="0.2">
      <c r="A542" s="43">
        <v>812310</v>
      </c>
      <c r="B542" s="43">
        <v>202107</v>
      </c>
      <c r="C542" s="44">
        <v>15433.72</v>
      </c>
      <c r="D542" s="44">
        <v>1</v>
      </c>
      <c r="H542" s="45">
        <v>1</v>
      </c>
    </row>
    <row r="543" spans="1:8" x14ac:dyDescent="0.2">
      <c r="A543" s="43">
        <v>812310</v>
      </c>
      <c r="B543" s="43">
        <v>202108</v>
      </c>
      <c r="C543" s="44">
        <v>13500</v>
      </c>
      <c r="D543" s="44">
        <v>1</v>
      </c>
      <c r="H543" s="45">
        <v>1</v>
      </c>
    </row>
    <row r="544" spans="1:8" x14ac:dyDescent="0.2">
      <c r="A544" s="43">
        <v>812310</v>
      </c>
      <c r="B544" s="43">
        <v>202109</v>
      </c>
      <c r="C544" s="44">
        <v>13500</v>
      </c>
      <c r="D544" s="44">
        <v>1</v>
      </c>
      <c r="H544" s="45">
        <v>1</v>
      </c>
    </row>
    <row r="545" spans="1:8" x14ac:dyDescent="0.2">
      <c r="A545" s="43">
        <v>812310</v>
      </c>
      <c r="B545" s="43">
        <v>202110</v>
      </c>
      <c r="C545" s="44">
        <v>13500</v>
      </c>
      <c r="D545" s="44">
        <v>1</v>
      </c>
      <c r="H545" s="45">
        <v>1</v>
      </c>
    </row>
    <row r="546" spans="1:8" x14ac:dyDescent="0.2">
      <c r="A546" s="43">
        <v>812310</v>
      </c>
      <c r="B546" s="43">
        <v>202111</v>
      </c>
      <c r="C546" s="44">
        <v>13500</v>
      </c>
      <c r="D546" s="44">
        <v>1</v>
      </c>
      <c r="H546" s="45">
        <v>1</v>
      </c>
    </row>
    <row r="547" spans="1:8" x14ac:dyDescent="0.2">
      <c r="A547" s="43">
        <v>812310</v>
      </c>
      <c r="B547" s="43">
        <v>202112</v>
      </c>
      <c r="C547" s="44">
        <v>13500</v>
      </c>
      <c r="D547" s="44">
        <v>1</v>
      </c>
      <c r="F547" s="67" cm="1">
        <f t="array" ref="F547">SUM(D536:D547/12)</f>
        <v>1</v>
      </c>
      <c r="H547" s="45">
        <v>1</v>
      </c>
    </row>
    <row r="548" spans="1:8" x14ac:dyDescent="0.2">
      <c r="A548" s="46" t="s">
        <v>773</v>
      </c>
      <c r="B548" s="43"/>
      <c r="C548" s="47">
        <f>SUM(C536:C547)</f>
        <v>174502.01</v>
      </c>
      <c r="H548" s="45"/>
    </row>
    <row r="549" spans="1:8" x14ac:dyDescent="0.2">
      <c r="A549" s="43">
        <v>812400</v>
      </c>
      <c r="B549" s="43">
        <v>202101</v>
      </c>
      <c r="C549" s="44">
        <v>43233.34</v>
      </c>
      <c r="D549" s="44">
        <v>3.73</v>
      </c>
      <c r="H549" s="45">
        <v>4</v>
      </c>
    </row>
    <row r="550" spans="1:8" x14ac:dyDescent="0.2">
      <c r="A550" s="43">
        <v>812400</v>
      </c>
      <c r="B550" s="43">
        <v>202102</v>
      </c>
      <c r="C550" s="44">
        <v>42258.49</v>
      </c>
      <c r="D550" s="44">
        <v>3.73</v>
      </c>
      <c r="H550" s="45">
        <v>4</v>
      </c>
    </row>
    <row r="551" spans="1:8" x14ac:dyDescent="0.2">
      <c r="A551" s="43">
        <v>812400</v>
      </c>
      <c r="B551" s="43">
        <v>202103</v>
      </c>
      <c r="C551" s="44">
        <v>42568.32</v>
      </c>
      <c r="D551" s="44">
        <v>3.73</v>
      </c>
      <c r="H551" s="45">
        <v>4</v>
      </c>
    </row>
    <row r="552" spans="1:8" x14ac:dyDescent="0.2">
      <c r="A552" s="43">
        <v>812400</v>
      </c>
      <c r="B552" s="43">
        <v>202104</v>
      </c>
      <c r="C552" s="44">
        <v>48508.18</v>
      </c>
      <c r="D552" s="44">
        <v>3.73</v>
      </c>
      <c r="H552" s="45">
        <v>4</v>
      </c>
    </row>
    <row r="553" spans="1:8" x14ac:dyDescent="0.2">
      <c r="A553" s="43">
        <v>812400</v>
      </c>
      <c r="B553" s="43">
        <v>202105</v>
      </c>
      <c r="C553" s="44">
        <v>50160.76</v>
      </c>
      <c r="D553" s="44">
        <v>3.73</v>
      </c>
      <c r="H553" s="45">
        <v>4</v>
      </c>
    </row>
    <row r="554" spans="1:8" x14ac:dyDescent="0.2">
      <c r="A554" s="43">
        <v>812400</v>
      </c>
      <c r="B554" s="43">
        <v>202106</v>
      </c>
      <c r="C554" s="44">
        <v>84321.99</v>
      </c>
      <c r="D554" s="44">
        <v>3.73</v>
      </c>
      <c r="H554" s="45">
        <v>4</v>
      </c>
    </row>
    <row r="555" spans="1:8" x14ac:dyDescent="0.2">
      <c r="A555" s="43">
        <v>812400</v>
      </c>
      <c r="B555" s="43">
        <v>202107</v>
      </c>
      <c r="C555" s="44">
        <v>50327.3</v>
      </c>
      <c r="D555" s="44">
        <v>3.73</v>
      </c>
      <c r="H555" s="45">
        <v>4</v>
      </c>
    </row>
    <row r="556" spans="1:8" x14ac:dyDescent="0.2">
      <c r="A556" s="43">
        <v>812400</v>
      </c>
      <c r="B556" s="43">
        <v>202108</v>
      </c>
      <c r="C556" s="44">
        <v>50160</v>
      </c>
      <c r="D556" s="44">
        <v>3.73</v>
      </c>
      <c r="H556" s="45">
        <v>4</v>
      </c>
    </row>
    <row r="557" spans="1:8" x14ac:dyDescent="0.2">
      <c r="A557" s="43">
        <v>812400</v>
      </c>
      <c r="B557" s="43">
        <v>202109</v>
      </c>
      <c r="C557" s="44">
        <v>50160</v>
      </c>
      <c r="D557" s="44">
        <v>3.73</v>
      </c>
      <c r="H557" s="45">
        <v>4</v>
      </c>
    </row>
    <row r="558" spans="1:8" x14ac:dyDescent="0.2">
      <c r="A558" s="43">
        <v>812400</v>
      </c>
      <c r="B558" s="43">
        <v>202110</v>
      </c>
      <c r="C558" s="44">
        <v>50160</v>
      </c>
      <c r="D558" s="44">
        <v>3.73</v>
      </c>
      <c r="H558" s="45">
        <v>4</v>
      </c>
    </row>
    <row r="559" spans="1:8" x14ac:dyDescent="0.2">
      <c r="A559" s="43">
        <v>812400</v>
      </c>
      <c r="B559" s="43">
        <v>202111</v>
      </c>
      <c r="C559" s="44">
        <v>50160</v>
      </c>
      <c r="D559" s="44">
        <v>3.73</v>
      </c>
      <c r="H559" s="45">
        <v>4</v>
      </c>
    </row>
    <row r="560" spans="1:8" x14ac:dyDescent="0.2">
      <c r="A560" s="43">
        <v>812400</v>
      </c>
      <c r="B560" s="43">
        <v>202112</v>
      </c>
      <c r="C560" s="44">
        <v>50160</v>
      </c>
      <c r="D560" s="44">
        <v>3.73</v>
      </c>
      <c r="F560" s="67" cm="1">
        <f t="array" ref="F560">SUM(D549:D560/12)</f>
        <v>3.7300000000000009</v>
      </c>
      <c r="H560" s="45">
        <v>4</v>
      </c>
    </row>
    <row r="561" spans="1:8" x14ac:dyDescent="0.2">
      <c r="A561" s="46" t="s">
        <v>774</v>
      </c>
      <c r="B561" s="43"/>
      <c r="C561" s="47">
        <f>SUM(C549:C560)</f>
        <v>612178.38</v>
      </c>
      <c r="H561" s="45"/>
    </row>
    <row r="562" spans="1:8" x14ac:dyDescent="0.2">
      <c r="A562" s="43">
        <v>812510</v>
      </c>
      <c r="B562" s="43">
        <v>202101</v>
      </c>
      <c r="C562" s="44">
        <v>35217.800000000003</v>
      </c>
      <c r="H562" s="45">
        <v>15</v>
      </c>
    </row>
    <row r="563" spans="1:8" x14ac:dyDescent="0.2">
      <c r="A563" s="43">
        <v>812510</v>
      </c>
      <c r="B563" s="43">
        <v>202102</v>
      </c>
      <c r="C563" s="44">
        <v>5722.79</v>
      </c>
      <c r="H563" s="45">
        <v>1</v>
      </c>
    </row>
    <row r="564" spans="1:8" x14ac:dyDescent="0.2">
      <c r="A564" s="43">
        <v>812510</v>
      </c>
      <c r="B564" s="43">
        <v>202103</v>
      </c>
      <c r="C564" s="44">
        <v>11561.54</v>
      </c>
      <c r="H564" s="45">
        <v>7</v>
      </c>
    </row>
    <row r="565" spans="1:8" x14ac:dyDescent="0.2">
      <c r="A565" s="43">
        <v>812510</v>
      </c>
      <c r="B565" s="43">
        <v>202104</v>
      </c>
      <c r="C565" s="44">
        <v>6812.32</v>
      </c>
      <c r="H565" s="45">
        <v>4</v>
      </c>
    </row>
    <row r="566" spans="1:8" x14ac:dyDescent="0.2">
      <c r="A566" s="43">
        <v>812510</v>
      </c>
      <c r="B566" s="43">
        <v>202105</v>
      </c>
      <c r="C566" s="44">
        <v>1517.35</v>
      </c>
      <c r="H566" s="45">
        <v>3</v>
      </c>
    </row>
    <row r="567" spans="1:8" x14ac:dyDescent="0.2">
      <c r="A567" s="43">
        <v>812510</v>
      </c>
      <c r="B567" s="43">
        <v>202106</v>
      </c>
      <c r="C567" s="44">
        <f>21294.96+3935</f>
        <v>25229.96</v>
      </c>
      <c r="H567" s="45">
        <v>4</v>
      </c>
    </row>
    <row r="568" spans="1:8" x14ac:dyDescent="0.2">
      <c r="A568" s="43">
        <v>812510</v>
      </c>
      <c r="B568" s="43">
        <v>202107</v>
      </c>
      <c r="C568" s="44">
        <v>23734.23</v>
      </c>
      <c r="H568" s="45">
        <v>7</v>
      </c>
    </row>
    <row r="569" spans="1:8" x14ac:dyDescent="0.2">
      <c r="A569" s="43">
        <v>812510</v>
      </c>
      <c r="B569" s="43">
        <v>202108</v>
      </c>
      <c r="C569" s="44">
        <v>15000</v>
      </c>
      <c r="H569" s="45">
        <v>7</v>
      </c>
    </row>
    <row r="570" spans="1:8" x14ac:dyDescent="0.2">
      <c r="A570" s="43">
        <v>812510</v>
      </c>
      <c r="B570" s="43">
        <v>202109</v>
      </c>
      <c r="C570" s="44">
        <v>15000</v>
      </c>
      <c r="H570" s="45">
        <v>7</v>
      </c>
    </row>
    <row r="571" spans="1:8" x14ac:dyDescent="0.2">
      <c r="A571" s="43">
        <v>812510</v>
      </c>
      <c r="B571" s="43">
        <v>202110</v>
      </c>
      <c r="C571" s="44">
        <v>15000</v>
      </c>
      <c r="H571" s="45">
        <v>7</v>
      </c>
    </row>
    <row r="572" spans="1:8" x14ac:dyDescent="0.2">
      <c r="A572" s="43">
        <v>812510</v>
      </c>
      <c r="B572" s="43">
        <v>202111</v>
      </c>
      <c r="C572" s="44">
        <v>15000</v>
      </c>
      <c r="H572" s="45">
        <v>7</v>
      </c>
    </row>
    <row r="573" spans="1:8" x14ac:dyDescent="0.2">
      <c r="A573" s="43">
        <v>812510</v>
      </c>
      <c r="B573" s="43">
        <v>202112</v>
      </c>
      <c r="C573" s="44">
        <v>15000</v>
      </c>
      <c r="F573" s="67" cm="1">
        <f t="array" ref="F573">SUM(D562:D573/12)</f>
        <v>0</v>
      </c>
      <c r="H573" s="45">
        <v>7</v>
      </c>
    </row>
    <row r="574" spans="1:8" x14ac:dyDescent="0.2">
      <c r="A574" s="46" t="s">
        <v>775</v>
      </c>
      <c r="B574" s="43"/>
      <c r="C574" s="47">
        <f>SUM(C562:C573)</f>
        <v>184795.99</v>
      </c>
      <c r="H574" s="45"/>
    </row>
    <row r="575" spans="1:8" x14ac:dyDescent="0.2">
      <c r="A575" s="43">
        <v>812520</v>
      </c>
      <c r="B575" s="43">
        <v>202104</v>
      </c>
      <c r="C575" s="44">
        <v>8661.9</v>
      </c>
      <c r="H575" s="45">
        <v>5</v>
      </c>
    </row>
    <row r="576" spans="1:8" x14ac:dyDescent="0.2">
      <c r="A576" s="43">
        <v>812520</v>
      </c>
      <c r="B576" s="43">
        <v>202106</v>
      </c>
      <c r="C576" s="44">
        <v>1.1399999999999999</v>
      </c>
      <c r="H576" s="45">
        <v>1</v>
      </c>
    </row>
    <row r="577" spans="1:8" x14ac:dyDescent="0.2">
      <c r="A577" s="43">
        <v>812520</v>
      </c>
      <c r="B577" s="43">
        <v>202107</v>
      </c>
      <c r="C577" s="44">
        <v>102245.3</v>
      </c>
      <c r="H577" s="45">
        <v>16</v>
      </c>
    </row>
    <row r="578" spans="1:8" x14ac:dyDescent="0.2">
      <c r="A578" s="46" t="s">
        <v>776</v>
      </c>
      <c r="B578" s="43"/>
      <c r="C578" s="47">
        <f>SUBTOTAL(9,C575:C577)</f>
        <v>110908.34</v>
      </c>
      <c r="H578" s="45"/>
    </row>
    <row r="579" spans="1:8" x14ac:dyDescent="0.2">
      <c r="A579" s="43">
        <v>812600</v>
      </c>
      <c r="B579" s="43">
        <v>202101</v>
      </c>
      <c r="C579" s="44">
        <v>279228.69</v>
      </c>
      <c r="D579" s="44">
        <v>32.844999999999999</v>
      </c>
      <c r="H579" s="45">
        <v>48</v>
      </c>
    </row>
    <row r="580" spans="1:8" x14ac:dyDescent="0.2">
      <c r="A580" s="43">
        <v>812600</v>
      </c>
      <c r="B580" s="43">
        <v>202102</v>
      </c>
      <c r="C580" s="44">
        <v>383749.32</v>
      </c>
      <c r="D580" s="44">
        <v>32.344999999999999</v>
      </c>
      <c r="H580" s="45">
        <v>49</v>
      </c>
    </row>
    <row r="581" spans="1:8" x14ac:dyDescent="0.2">
      <c r="A581" s="43">
        <v>812600</v>
      </c>
      <c r="B581" s="43">
        <v>202103</v>
      </c>
      <c r="C581" s="44">
        <v>353513.63</v>
      </c>
      <c r="D581" s="44">
        <v>31.58</v>
      </c>
      <c r="H581" s="45">
        <v>50</v>
      </c>
    </row>
    <row r="582" spans="1:8" x14ac:dyDescent="0.2">
      <c r="A582" s="43">
        <v>812600</v>
      </c>
      <c r="B582" s="43">
        <v>202104</v>
      </c>
      <c r="C582" s="44">
        <v>324822.14</v>
      </c>
      <c r="D582" s="44">
        <v>31.221</v>
      </c>
      <c r="H582" s="45">
        <v>49</v>
      </c>
    </row>
    <row r="583" spans="1:8" x14ac:dyDescent="0.2">
      <c r="A583" s="43">
        <v>812600</v>
      </c>
      <c r="B583" s="43">
        <v>202105</v>
      </c>
      <c r="C583" s="44">
        <v>364887.07</v>
      </c>
      <c r="D583" s="44">
        <v>31.614999999999998</v>
      </c>
      <c r="H583" s="45">
        <v>50</v>
      </c>
    </row>
    <row r="584" spans="1:8" x14ac:dyDescent="0.2">
      <c r="A584" s="43">
        <v>812600</v>
      </c>
      <c r="B584" s="43">
        <v>202106</v>
      </c>
      <c r="C584" s="44">
        <v>543631.1</v>
      </c>
      <c r="D584" s="44">
        <v>31.614999999999998</v>
      </c>
      <c r="H584" s="45">
        <v>53</v>
      </c>
    </row>
    <row r="585" spans="1:8" x14ac:dyDescent="0.2">
      <c r="A585" s="43">
        <v>812600</v>
      </c>
      <c r="B585" s="43">
        <v>202107</v>
      </c>
      <c r="C585" s="44">
        <v>397740.02</v>
      </c>
      <c r="D585" s="44">
        <v>30.995000000000001</v>
      </c>
      <c r="H585" s="45">
        <v>53</v>
      </c>
    </row>
    <row r="586" spans="1:8" x14ac:dyDescent="0.2">
      <c r="A586" s="43">
        <v>812600</v>
      </c>
      <c r="B586" s="43">
        <v>202108</v>
      </c>
      <c r="C586" s="44">
        <v>365000</v>
      </c>
      <c r="D586" s="44">
        <v>30.995000000000001</v>
      </c>
      <c r="H586" s="45">
        <v>53</v>
      </c>
    </row>
    <row r="587" spans="1:8" x14ac:dyDescent="0.2">
      <c r="A587" s="43">
        <v>812600</v>
      </c>
      <c r="B587" s="43">
        <v>202109</v>
      </c>
      <c r="C587" s="44">
        <f>365000+3600</f>
        <v>368600</v>
      </c>
      <c r="D587" s="44">
        <v>30.995000000000001</v>
      </c>
      <c r="H587" s="45">
        <v>53</v>
      </c>
    </row>
    <row r="588" spans="1:8" x14ac:dyDescent="0.2">
      <c r="A588" s="43">
        <v>812600</v>
      </c>
      <c r="B588" s="43">
        <v>202110</v>
      </c>
      <c r="C588" s="44">
        <v>365000</v>
      </c>
      <c r="D588" s="44">
        <v>30.995000000000001</v>
      </c>
      <c r="H588" s="45">
        <v>53</v>
      </c>
    </row>
    <row r="589" spans="1:8" x14ac:dyDescent="0.2">
      <c r="A589" s="43">
        <v>812600</v>
      </c>
      <c r="B589" s="43">
        <v>202111</v>
      </c>
      <c r="C589" s="44">
        <v>365000</v>
      </c>
      <c r="D589" s="44">
        <v>30.995000000000001</v>
      </c>
      <c r="H589" s="45">
        <v>53</v>
      </c>
    </row>
    <row r="590" spans="1:8" x14ac:dyDescent="0.2">
      <c r="A590" s="43">
        <v>812600</v>
      </c>
      <c r="B590" s="43">
        <v>202112</v>
      </c>
      <c r="C590" s="44">
        <v>365000</v>
      </c>
      <c r="D590" s="44">
        <v>31</v>
      </c>
      <c r="F590" s="67" cm="1">
        <f t="array" ref="F590">SUM(D579:D590/12)</f>
        <v>31.432999999999993</v>
      </c>
      <c r="H590" s="45">
        <v>53</v>
      </c>
    </row>
    <row r="591" spans="1:8" x14ac:dyDescent="0.2">
      <c r="A591" s="46" t="s">
        <v>777</v>
      </c>
      <c r="B591" s="43"/>
      <c r="C591" s="47">
        <f>SUM(C579:C590)</f>
        <v>4476171.9700000007</v>
      </c>
      <c r="H591" s="45"/>
    </row>
    <row r="592" spans="1:8" x14ac:dyDescent="0.2">
      <c r="A592" s="43">
        <v>812700</v>
      </c>
      <c r="B592" s="43">
        <v>202101</v>
      </c>
      <c r="C592" s="44">
        <v>50328.22</v>
      </c>
      <c r="D592" s="44">
        <v>4.21</v>
      </c>
      <c r="H592" s="45">
        <v>5</v>
      </c>
    </row>
    <row r="593" spans="1:8" x14ac:dyDescent="0.2">
      <c r="A593" s="43">
        <v>812700</v>
      </c>
      <c r="B593" s="43">
        <v>202102</v>
      </c>
      <c r="C593" s="44">
        <v>44307.519999999997</v>
      </c>
      <c r="D593" s="44">
        <v>4.21</v>
      </c>
      <c r="H593" s="45">
        <v>5</v>
      </c>
    </row>
    <row r="594" spans="1:8" x14ac:dyDescent="0.2">
      <c r="A594" s="43">
        <v>812700</v>
      </c>
      <c r="B594" s="43">
        <v>202103</v>
      </c>
      <c r="C594" s="44">
        <v>61945.33</v>
      </c>
      <c r="D594" s="44">
        <v>4.21</v>
      </c>
      <c r="H594" s="45">
        <v>5</v>
      </c>
    </row>
    <row r="595" spans="1:8" x14ac:dyDescent="0.2">
      <c r="A595" s="43">
        <v>812700</v>
      </c>
      <c r="B595" s="43">
        <v>202104</v>
      </c>
      <c r="C595" s="44">
        <v>59177.34</v>
      </c>
      <c r="D595" s="44">
        <v>4.21</v>
      </c>
      <c r="H595" s="45">
        <v>5</v>
      </c>
    </row>
    <row r="596" spans="1:8" x14ac:dyDescent="0.2">
      <c r="A596" s="43">
        <v>812700</v>
      </c>
      <c r="B596" s="43">
        <v>202105</v>
      </c>
      <c r="C596" s="44">
        <v>55337.34</v>
      </c>
      <c r="D596" s="44">
        <v>4.21</v>
      </c>
      <c r="H596" s="45">
        <v>5</v>
      </c>
    </row>
    <row r="597" spans="1:8" x14ac:dyDescent="0.2">
      <c r="A597" s="43">
        <v>812700</v>
      </c>
      <c r="B597" s="43">
        <v>202106</v>
      </c>
      <c r="C597" s="44">
        <v>110802.77</v>
      </c>
      <c r="D597" s="44">
        <v>4.21</v>
      </c>
      <c r="H597" s="45">
        <v>5</v>
      </c>
    </row>
    <row r="598" spans="1:8" x14ac:dyDescent="0.2">
      <c r="A598" s="43">
        <v>812700</v>
      </c>
      <c r="B598" s="43">
        <v>202107</v>
      </c>
      <c r="C598" s="44">
        <v>65267.66</v>
      </c>
      <c r="D598" s="44">
        <v>4.21</v>
      </c>
      <c r="H598" s="45">
        <v>5</v>
      </c>
    </row>
    <row r="599" spans="1:8" x14ac:dyDescent="0.2">
      <c r="A599" s="43">
        <v>812700</v>
      </c>
      <c r="B599" s="43">
        <v>202108</v>
      </c>
      <c r="C599" s="44">
        <v>55000</v>
      </c>
      <c r="D599" s="44">
        <v>4.21</v>
      </c>
      <c r="H599" s="45">
        <v>5</v>
      </c>
    </row>
    <row r="600" spans="1:8" x14ac:dyDescent="0.2">
      <c r="A600" s="43">
        <v>812700</v>
      </c>
      <c r="B600" s="43">
        <v>202109</v>
      </c>
      <c r="C600" s="44">
        <v>55000</v>
      </c>
      <c r="D600" s="44">
        <v>4.21</v>
      </c>
      <c r="H600" s="45">
        <v>5</v>
      </c>
    </row>
    <row r="601" spans="1:8" x14ac:dyDescent="0.2">
      <c r="A601" s="43">
        <v>812700</v>
      </c>
      <c r="B601" s="43">
        <v>202110</v>
      </c>
      <c r="C601" s="44">
        <v>55000</v>
      </c>
      <c r="D601" s="44">
        <v>4.21</v>
      </c>
      <c r="H601" s="45">
        <v>5</v>
      </c>
    </row>
    <row r="602" spans="1:8" x14ac:dyDescent="0.2">
      <c r="A602" s="43">
        <v>812700</v>
      </c>
      <c r="B602" s="43">
        <v>202111</v>
      </c>
      <c r="C602" s="44">
        <v>55000</v>
      </c>
      <c r="D602" s="44">
        <v>4.21</v>
      </c>
      <c r="H602" s="45">
        <v>5</v>
      </c>
    </row>
    <row r="603" spans="1:8" x14ac:dyDescent="0.2">
      <c r="A603" s="43">
        <v>812700</v>
      </c>
      <c r="B603" s="43">
        <v>202112</v>
      </c>
      <c r="C603" s="44">
        <v>55000</v>
      </c>
      <c r="D603" s="44">
        <v>4.21</v>
      </c>
      <c r="F603" s="67" cm="1">
        <f t="array" ref="F603">SUM(D592:D603/12)</f>
        <v>4.2099999999999991</v>
      </c>
      <c r="H603" s="45">
        <v>5</v>
      </c>
    </row>
    <row r="604" spans="1:8" x14ac:dyDescent="0.2">
      <c r="A604" s="46" t="s">
        <v>778</v>
      </c>
      <c r="B604" s="43"/>
      <c r="C604" s="47">
        <f>SUM(C592:C603)</f>
        <v>722166.18</v>
      </c>
      <c r="H604" s="45"/>
    </row>
    <row r="605" spans="1:8" x14ac:dyDescent="0.2">
      <c r="A605" s="43">
        <v>812800</v>
      </c>
      <c r="B605" s="43">
        <v>202101</v>
      </c>
      <c r="C605" s="44">
        <v>145614.10999999999</v>
      </c>
      <c r="D605" s="44">
        <v>14.788</v>
      </c>
      <c r="H605" s="45">
        <v>19</v>
      </c>
    </row>
    <row r="606" spans="1:8" x14ac:dyDescent="0.2">
      <c r="A606" s="43">
        <v>812800</v>
      </c>
      <c r="B606" s="43">
        <v>202102</v>
      </c>
      <c r="C606" s="44">
        <v>152979.01999999999</v>
      </c>
      <c r="D606" s="44">
        <v>14.718999999999999</v>
      </c>
      <c r="H606" s="45">
        <v>19</v>
      </c>
    </row>
    <row r="607" spans="1:8" x14ac:dyDescent="0.2">
      <c r="A607" s="43">
        <v>812800</v>
      </c>
      <c r="B607" s="43">
        <v>202103</v>
      </c>
      <c r="C607" s="44">
        <v>151714.69</v>
      </c>
      <c r="D607" s="44">
        <v>14.718999999999999</v>
      </c>
      <c r="H607" s="45">
        <v>19</v>
      </c>
    </row>
    <row r="608" spans="1:8" x14ac:dyDescent="0.2">
      <c r="A608" s="43">
        <v>812800</v>
      </c>
      <c r="B608" s="43">
        <v>202104</v>
      </c>
      <c r="C608" s="44">
        <v>154029.46</v>
      </c>
      <c r="D608" s="44">
        <v>14.718999999999999</v>
      </c>
      <c r="H608" s="45">
        <v>19</v>
      </c>
    </row>
    <row r="609" spans="1:8" x14ac:dyDescent="0.2">
      <c r="A609" s="43">
        <v>812800</v>
      </c>
      <c r="B609" s="43">
        <v>202105</v>
      </c>
      <c r="C609" s="44">
        <v>162665.41</v>
      </c>
      <c r="D609" s="44">
        <v>14.718999999999999</v>
      </c>
      <c r="H609" s="45">
        <v>19</v>
      </c>
    </row>
    <row r="610" spans="1:8" x14ac:dyDescent="0.2">
      <c r="A610" s="43">
        <v>812800</v>
      </c>
      <c r="B610" s="43">
        <v>202106</v>
      </c>
      <c r="C610" s="44">
        <v>244734.36</v>
      </c>
      <c r="D610" s="44">
        <v>14.718999999999999</v>
      </c>
      <c r="H610" s="45">
        <v>19</v>
      </c>
    </row>
    <row r="611" spans="1:8" x14ac:dyDescent="0.2">
      <c r="A611" s="43">
        <v>812800</v>
      </c>
      <c r="B611" s="43">
        <v>202107</v>
      </c>
      <c r="C611" s="44">
        <v>186412.72</v>
      </c>
      <c r="D611" s="44">
        <v>14.718999999999999</v>
      </c>
      <c r="H611" s="45">
        <v>19</v>
      </c>
    </row>
    <row r="612" spans="1:8" x14ac:dyDescent="0.2">
      <c r="A612" s="43">
        <v>812800</v>
      </c>
      <c r="B612" s="43">
        <v>202108</v>
      </c>
      <c r="C612" s="44">
        <v>160000</v>
      </c>
      <c r="D612" s="44">
        <v>14.718999999999999</v>
      </c>
      <c r="H612" s="45">
        <v>19</v>
      </c>
    </row>
    <row r="613" spans="1:8" x14ac:dyDescent="0.2">
      <c r="A613" s="43">
        <v>812800</v>
      </c>
      <c r="B613" s="43">
        <v>202109</v>
      </c>
      <c r="C613" s="44">
        <f>160000+13000</f>
        <v>173000</v>
      </c>
      <c r="D613" s="44">
        <v>14.718999999999999</v>
      </c>
      <c r="H613" s="45">
        <v>19</v>
      </c>
    </row>
    <row r="614" spans="1:8" x14ac:dyDescent="0.2">
      <c r="A614" s="43">
        <v>812800</v>
      </c>
      <c r="B614" s="43">
        <v>202110</v>
      </c>
      <c r="C614" s="44">
        <v>160000</v>
      </c>
      <c r="D614" s="44">
        <v>14.718999999999999</v>
      </c>
      <c r="H614" s="45">
        <v>19</v>
      </c>
    </row>
    <row r="615" spans="1:8" x14ac:dyDescent="0.2">
      <c r="A615" s="43">
        <v>812800</v>
      </c>
      <c r="B615" s="43">
        <v>202111</v>
      </c>
      <c r="C615" s="44">
        <v>160000</v>
      </c>
      <c r="D615" s="44">
        <v>14.718999999999999</v>
      </c>
      <c r="H615" s="45">
        <v>19</v>
      </c>
    </row>
    <row r="616" spans="1:8" x14ac:dyDescent="0.2">
      <c r="A616" s="43">
        <v>812800</v>
      </c>
      <c r="B616" s="43">
        <v>202112</v>
      </c>
      <c r="C616" s="44">
        <v>160000</v>
      </c>
      <c r="D616" s="44">
        <v>14.718999999999999</v>
      </c>
      <c r="F616" s="67" cm="1">
        <f t="array" ref="F616">SUM(D605:D616/12)</f>
        <v>14.724750000000004</v>
      </c>
      <c r="H616" s="45">
        <v>19</v>
      </c>
    </row>
    <row r="617" spans="1:8" x14ac:dyDescent="0.2">
      <c r="A617" s="46" t="s">
        <v>779</v>
      </c>
      <c r="B617" s="43"/>
      <c r="C617" s="47">
        <f>SUM(C605:C616)</f>
        <v>2011149.77</v>
      </c>
      <c r="H617" s="45"/>
    </row>
    <row r="618" spans="1:8" x14ac:dyDescent="0.2">
      <c r="A618" s="43">
        <v>812900</v>
      </c>
      <c r="B618" s="43">
        <v>202101</v>
      </c>
      <c r="C618" s="44">
        <f>95039.55+210.19</f>
        <v>95249.74</v>
      </c>
      <c r="D618" s="44">
        <v>9.8800000000000008</v>
      </c>
      <c r="H618" s="45">
        <v>10</v>
      </c>
    </row>
    <row r="619" spans="1:8" x14ac:dyDescent="0.2">
      <c r="A619" s="43">
        <v>812900</v>
      </c>
      <c r="B619" s="43">
        <v>202102</v>
      </c>
      <c r="C619" s="44">
        <v>102080.28</v>
      </c>
      <c r="D619" s="44">
        <v>9.8800000000000008</v>
      </c>
      <c r="H619" s="45">
        <v>10</v>
      </c>
    </row>
    <row r="620" spans="1:8" x14ac:dyDescent="0.2">
      <c r="A620" s="43">
        <v>812900</v>
      </c>
      <c r="B620" s="43">
        <v>202103</v>
      </c>
      <c r="C620" s="44">
        <v>101867.19</v>
      </c>
      <c r="D620" s="44">
        <v>9.8800000000000008</v>
      </c>
      <c r="H620" s="45">
        <v>10</v>
      </c>
    </row>
    <row r="621" spans="1:8" x14ac:dyDescent="0.2">
      <c r="A621" s="43">
        <v>812900</v>
      </c>
      <c r="B621" s="43">
        <v>202104</v>
      </c>
      <c r="C621" s="44">
        <v>101810.62</v>
      </c>
      <c r="D621" s="44">
        <v>9.8800000000000008</v>
      </c>
      <c r="H621" s="45">
        <v>10</v>
      </c>
    </row>
    <row r="622" spans="1:8" x14ac:dyDescent="0.2">
      <c r="A622" s="43">
        <v>812900</v>
      </c>
      <c r="B622" s="43">
        <v>202105</v>
      </c>
      <c r="C622" s="44">
        <v>107703</v>
      </c>
      <c r="D622" s="44">
        <v>9.8800000000000008</v>
      </c>
      <c r="H622" s="45">
        <v>10</v>
      </c>
    </row>
    <row r="623" spans="1:8" x14ac:dyDescent="0.2">
      <c r="A623" s="43">
        <v>812900</v>
      </c>
      <c r="B623" s="43">
        <v>202106</v>
      </c>
      <c r="C623" s="44">
        <v>167063.04000000001</v>
      </c>
      <c r="D623" s="44">
        <v>9.8800000000000008</v>
      </c>
      <c r="H623" s="45">
        <v>10</v>
      </c>
    </row>
    <row r="624" spans="1:8" x14ac:dyDescent="0.2">
      <c r="A624" s="43">
        <v>812900</v>
      </c>
      <c r="B624" s="43">
        <v>202107</v>
      </c>
      <c r="C624" s="44">
        <f>125988.6+132.35</f>
        <v>126120.95000000001</v>
      </c>
      <c r="D624" s="44">
        <v>9.8800000000000008</v>
      </c>
      <c r="H624" s="45">
        <v>10</v>
      </c>
    </row>
    <row r="625" spans="1:8" x14ac:dyDescent="0.2">
      <c r="A625" s="43">
        <v>812900</v>
      </c>
      <c r="B625" s="43">
        <v>202108</v>
      </c>
      <c r="C625" s="44">
        <v>108000</v>
      </c>
      <c r="D625" s="44">
        <v>9.8800000000000008</v>
      </c>
      <c r="H625" s="45">
        <v>10</v>
      </c>
    </row>
    <row r="626" spans="1:8" x14ac:dyDescent="0.2">
      <c r="A626" s="43">
        <v>812900</v>
      </c>
      <c r="B626" s="43">
        <v>202109</v>
      </c>
      <c r="C626" s="44">
        <f>108000+5600</f>
        <v>113600</v>
      </c>
      <c r="D626" s="44">
        <v>9.8800000000000008</v>
      </c>
      <c r="H626" s="45">
        <v>10</v>
      </c>
    </row>
    <row r="627" spans="1:8" x14ac:dyDescent="0.2">
      <c r="A627" s="43">
        <v>812900</v>
      </c>
      <c r="B627" s="43">
        <v>202110</v>
      </c>
      <c r="C627" s="44">
        <v>108000</v>
      </c>
      <c r="D627" s="44">
        <v>9.8800000000000008</v>
      </c>
      <c r="H627" s="45">
        <v>10</v>
      </c>
    </row>
    <row r="628" spans="1:8" x14ac:dyDescent="0.2">
      <c r="A628" s="43">
        <v>812900</v>
      </c>
      <c r="B628" s="43">
        <v>202111</v>
      </c>
      <c r="C628" s="44">
        <v>108000</v>
      </c>
      <c r="D628" s="44">
        <v>9.8800000000000008</v>
      </c>
      <c r="H628" s="45">
        <v>10</v>
      </c>
    </row>
    <row r="629" spans="1:8" x14ac:dyDescent="0.2">
      <c r="A629" s="43">
        <v>812900</v>
      </c>
      <c r="B629" s="43">
        <v>202112</v>
      </c>
      <c r="C629" s="44">
        <v>108000</v>
      </c>
      <c r="D629" s="44">
        <v>9.8800000000000008</v>
      </c>
      <c r="H629" s="45">
        <v>10</v>
      </c>
    </row>
    <row r="630" spans="1:8" x14ac:dyDescent="0.2">
      <c r="A630" s="43">
        <v>812900</v>
      </c>
      <c r="B630" s="43">
        <v>202113</v>
      </c>
      <c r="C630" s="44">
        <v>108000</v>
      </c>
      <c r="D630" s="44">
        <v>9.8800000000000008</v>
      </c>
      <c r="F630" s="67" cm="1">
        <f t="array" ref="F630">SUM(D619:D630/12)</f>
        <v>9.8800000000000026</v>
      </c>
      <c r="H630" s="45">
        <v>10</v>
      </c>
    </row>
    <row r="631" spans="1:8" x14ac:dyDescent="0.2">
      <c r="A631" s="46" t="s">
        <v>780</v>
      </c>
      <c r="B631" s="43"/>
      <c r="C631" s="47">
        <f>SUM(C618:C630)</f>
        <v>1455494.82</v>
      </c>
      <c r="H631" s="45"/>
    </row>
    <row r="632" spans="1:8" x14ac:dyDescent="0.2">
      <c r="A632" s="43">
        <v>813210</v>
      </c>
      <c r="B632" s="43">
        <v>202101</v>
      </c>
      <c r="C632" s="44">
        <v>58203.34</v>
      </c>
      <c r="D632" s="44">
        <v>5.8</v>
      </c>
      <c r="H632" s="45">
        <v>7</v>
      </c>
    </row>
    <row r="633" spans="1:8" x14ac:dyDescent="0.2">
      <c r="A633" s="43">
        <v>813210</v>
      </c>
      <c r="B633" s="43">
        <v>202102</v>
      </c>
      <c r="C633" s="44">
        <v>53701.87</v>
      </c>
      <c r="D633" s="44">
        <v>5.8</v>
      </c>
      <c r="H633" s="45">
        <v>7</v>
      </c>
    </row>
    <row r="634" spans="1:8" x14ac:dyDescent="0.2">
      <c r="A634" s="43">
        <v>813210</v>
      </c>
      <c r="B634" s="43">
        <v>202103</v>
      </c>
      <c r="C634" s="44">
        <v>69356.22</v>
      </c>
      <c r="D634" s="44">
        <v>5.8</v>
      </c>
      <c r="H634" s="45">
        <v>7</v>
      </c>
    </row>
    <row r="635" spans="1:8" x14ac:dyDescent="0.2">
      <c r="A635" s="43">
        <v>813210</v>
      </c>
      <c r="B635" s="43">
        <v>202104</v>
      </c>
      <c r="C635" s="44">
        <v>69944.55</v>
      </c>
      <c r="D635" s="44">
        <v>5.8</v>
      </c>
      <c r="H635" s="45">
        <v>7</v>
      </c>
    </row>
    <row r="636" spans="1:8" x14ac:dyDescent="0.2">
      <c r="A636" s="43">
        <v>813210</v>
      </c>
      <c r="B636" s="43">
        <v>202105</v>
      </c>
      <c r="C636" s="44">
        <v>71892.990000000005</v>
      </c>
      <c r="D636" s="44">
        <v>5.8</v>
      </c>
      <c r="H636" s="45">
        <v>7</v>
      </c>
    </row>
    <row r="637" spans="1:8" x14ac:dyDescent="0.2">
      <c r="A637" s="43">
        <v>813210</v>
      </c>
      <c r="B637" s="43">
        <v>202106</v>
      </c>
      <c r="C637" s="44">
        <v>108182.95</v>
      </c>
      <c r="D637" s="44">
        <v>5.8</v>
      </c>
      <c r="H637" s="45">
        <v>7</v>
      </c>
    </row>
    <row r="638" spans="1:8" x14ac:dyDescent="0.2">
      <c r="A638" s="43">
        <v>813210</v>
      </c>
      <c r="B638" s="43">
        <v>202107</v>
      </c>
      <c r="C638" s="44">
        <v>86648.22</v>
      </c>
      <c r="D638" s="44">
        <v>5.8</v>
      </c>
      <c r="H638" s="45">
        <v>7</v>
      </c>
    </row>
    <row r="639" spans="1:8" x14ac:dyDescent="0.2">
      <c r="A639" s="43">
        <v>813210</v>
      </c>
      <c r="B639" s="43">
        <v>202108</v>
      </c>
      <c r="C639" s="44">
        <v>72900</v>
      </c>
      <c r="D639" s="44">
        <v>5.8</v>
      </c>
      <c r="H639" s="45">
        <v>7</v>
      </c>
    </row>
    <row r="640" spans="1:8" x14ac:dyDescent="0.2">
      <c r="A640" s="43">
        <v>813210</v>
      </c>
      <c r="B640" s="43">
        <v>202109</v>
      </c>
      <c r="C640" s="44">
        <f>72900+5100</f>
        <v>78000</v>
      </c>
      <c r="D640" s="44">
        <v>5.8</v>
      </c>
      <c r="H640" s="45">
        <v>7</v>
      </c>
    </row>
    <row r="641" spans="1:8" x14ac:dyDescent="0.2">
      <c r="A641" s="43">
        <v>813210</v>
      </c>
      <c r="B641" s="43">
        <v>202110</v>
      </c>
      <c r="C641" s="44">
        <v>72900</v>
      </c>
      <c r="D641" s="44">
        <v>5.8</v>
      </c>
      <c r="H641" s="45">
        <v>7</v>
      </c>
    </row>
    <row r="642" spans="1:8" x14ac:dyDescent="0.2">
      <c r="A642" s="43">
        <v>813210</v>
      </c>
      <c r="B642" s="43">
        <v>202111</v>
      </c>
      <c r="C642" s="44">
        <v>72900</v>
      </c>
      <c r="D642" s="44">
        <v>5.8</v>
      </c>
      <c r="H642" s="45">
        <v>7</v>
      </c>
    </row>
    <row r="643" spans="1:8" x14ac:dyDescent="0.2">
      <c r="A643" s="43">
        <v>813210</v>
      </c>
      <c r="B643" s="43">
        <v>202112</v>
      </c>
      <c r="C643" s="44">
        <v>72900</v>
      </c>
      <c r="D643" s="44">
        <v>5.8</v>
      </c>
      <c r="F643" s="67" cm="1">
        <f t="array" ref="F643">SUM(D632:D643/12)</f>
        <v>5.8</v>
      </c>
      <c r="H643" s="45">
        <v>7</v>
      </c>
    </row>
    <row r="644" spans="1:8" x14ac:dyDescent="0.2">
      <c r="A644" s="46" t="s">
        <v>781</v>
      </c>
      <c r="B644" s="43"/>
      <c r="C644" s="47">
        <f>SUM(C632:C643)</f>
        <v>887530.14</v>
      </c>
      <c r="H644" s="45"/>
    </row>
    <row r="645" spans="1:8" x14ac:dyDescent="0.2">
      <c r="A645" s="43">
        <v>813211</v>
      </c>
      <c r="B645" s="43">
        <v>202101</v>
      </c>
      <c r="C645" s="44">
        <v>51197.15</v>
      </c>
      <c r="D645" s="44">
        <v>4.2</v>
      </c>
      <c r="H645" s="45">
        <v>5</v>
      </c>
    </row>
    <row r="646" spans="1:8" x14ac:dyDescent="0.2">
      <c r="A646" s="43">
        <v>813211</v>
      </c>
      <c r="B646" s="43">
        <v>202102</v>
      </c>
      <c r="C646" s="44">
        <v>47913.46</v>
      </c>
      <c r="D646" s="44">
        <v>4.2</v>
      </c>
      <c r="H646" s="45">
        <v>5</v>
      </c>
    </row>
    <row r="647" spans="1:8" x14ac:dyDescent="0.2">
      <c r="A647" s="43">
        <v>813211</v>
      </c>
      <c r="B647" s="43">
        <v>202103</v>
      </c>
      <c r="C647" s="44">
        <v>50817.89</v>
      </c>
      <c r="D647" s="44">
        <v>4.2</v>
      </c>
      <c r="H647" s="45">
        <v>5</v>
      </c>
    </row>
    <row r="648" spans="1:8" x14ac:dyDescent="0.2">
      <c r="A648" s="43">
        <v>813211</v>
      </c>
      <c r="B648" s="43">
        <v>202104</v>
      </c>
      <c r="C648" s="44">
        <v>49972.88</v>
      </c>
      <c r="D648" s="44">
        <v>4.2</v>
      </c>
      <c r="H648" s="45">
        <v>5</v>
      </c>
    </row>
    <row r="649" spans="1:8" x14ac:dyDescent="0.2">
      <c r="A649" s="43">
        <v>813211</v>
      </c>
      <c r="B649" s="43">
        <v>202105</v>
      </c>
      <c r="C649" s="44">
        <v>54786.879999999997</v>
      </c>
      <c r="D649" s="44">
        <v>4.2</v>
      </c>
      <c r="H649" s="45">
        <v>5</v>
      </c>
    </row>
    <row r="650" spans="1:8" x14ac:dyDescent="0.2">
      <c r="A650" s="43">
        <v>813211</v>
      </c>
      <c r="B650" s="43">
        <v>202106</v>
      </c>
      <c r="C650" s="44">
        <v>80008.039999999994</v>
      </c>
      <c r="D650" s="44">
        <v>4.2</v>
      </c>
      <c r="H650" s="45">
        <v>5</v>
      </c>
    </row>
    <row r="651" spans="1:8" x14ac:dyDescent="0.2">
      <c r="A651" s="43">
        <v>813211</v>
      </c>
      <c r="B651" s="43">
        <v>202107</v>
      </c>
      <c r="C651" s="44">
        <v>68872.44</v>
      </c>
      <c r="D651" s="44">
        <v>4.5999999999999996</v>
      </c>
      <c r="H651" s="45">
        <v>5</v>
      </c>
    </row>
    <row r="652" spans="1:8" x14ac:dyDescent="0.2">
      <c r="A652" s="43">
        <v>813211</v>
      </c>
      <c r="B652" s="43">
        <v>202108</v>
      </c>
      <c r="C652" s="44">
        <v>55000</v>
      </c>
      <c r="D652" s="44">
        <v>4.5999999999999996</v>
      </c>
      <c r="H652" s="45">
        <v>5</v>
      </c>
    </row>
    <row r="653" spans="1:8" x14ac:dyDescent="0.2">
      <c r="A653" s="43">
        <v>813211</v>
      </c>
      <c r="B653" s="43">
        <v>202109</v>
      </c>
      <c r="C653" s="44">
        <f>55000+5900</f>
        <v>60900</v>
      </c>
      <c r="D653" s="44">
        <v>4.5999999999999996</v>
      </c>
      <c r="H653" s="45">
        <v>5</v>
      </c>
    </row>
    <row r="654" spans="1:8" x14ac:dyDescent="0.2">
      <c r="A654" s="43">
        <v>813211</v>
      </c>
      <c r="B654" s="43">
        <v>202110</v>
      </c>
      <c r="C654" s="44">
        <v>55000</v>
      </c>
      <c r="D654" s="44">
        <v>4.5999999999999996</v>
      </c>
      <c r="H654" s="45">
        <v>5</v>
      </c>
    </row>
    <row r="655" spans="1:8" x14ac:dyDescent="0.2">
      <c r="A655" s="43">
        <v>813211</v>
      </c>
      <c r="B655" s="43">
        <v>202111</v>
      </c>
      <c r="C655" s="44">
        <v>55000</v>
      </c>
      <c r="D655" s="44">
        <v>4.5999999999999996</v>
      </c>
      <c r="H655" s="45">
        <v>5</v>
      </c>
    </row>
    <row r="656" spans="1:8" x14ac:dyDescent="0.2">
      <c r="A656" s="43">
        <v>813211</v>
      </c>
      <c r="B656" s="43">
        <v>202112</v>
      </c>
      <c r="C656" s="44">
        <v>55000</v>
      </c>
      <c r="D656" s="44">
        <v>4.5999999999999996</v>
      </c>
      <c r="F656" s="67" cm="1">
        <f t="array" ref="F656">SUM(D645:D656/12)</f>
        <v>4.4000000000000004</v>
      </c>
      <c r="H656" s="45">
        <v>5</v>
      </c>
    </row>
    <row r="657" spans="1:8" x14ac:dyDescent="0.2">
      <c r="A657" s="46" t="s">
        <v>782</v>
      </c>
      <c r="B657" s="43"/>
      <c r="C657" s="47">
        <f>SUM(C645:C656)</f>
        <v>684468.74</v>
      </c>
      <c r="H657" s="45"/>
    </row>
    <row r="658" spans="1:8" x14ac:dyDescent="0.2">
      <c r="A658" s="43">
        <v>813212</v>
      </c>
      <c r="B658" s="43">
        <v>202101</v>
      </c>
      <c r="C658" s="44">
        <v>65124.77</v>
      </c>
      <c r="D658" s="44">
        <v>5.4</v>
      </c>
      <c r="H658" s="45">
        <v>7</v>
      </c>
    </row>
    <row r="659" spans="1:8" x14ac:dyDescent="0.2">
      <c r="A659" s="43">
        <v>813212</v>
      </c>
      <c r="B659" s="43">
        <v>202102</v>
      </c>
      <c r="C659" s="44">
        <v>66383.05</v>
      </c>
      <c r="D659" s="44">
        <v>5.4</v>
      </c>
      <c r="H659" s="45">
        <v>7</v>
      </c>
    </row>
    <row r="660" spans="1:8" x14ac:dyDescent="0.2">
      <c r="A660" s="43">
        <v>813212</v>
      </c>
      <c r="B660" s="43">
        <v>202103</v>
      </c>
      <c r="C660" s="44">
        <v>71072.479999999996</v>
      </c>
      <c r="D660" s="44">
        <v>5.4</v>
      </c>
      <c r="H660" s="45">
        <v>7</v>
      </c>
    </row>
    <row r="661" spans="1:8" x14ac:dyDescent="0.2">
      <c r="A661" s="43">
        <v>813212</v>
      </c>
      <c r="B661" s="43">
        <v>202104</v>
      </c>
      <c r="C661" s="44">
        <v>69149.56</v>
      </c>
      <c r="D661" s="44">
        <v>5.4</v>
      </c>
      <c r="H661" s="45">
        <v>7</v>
      </c>
    </row>
    <row r="662" spans="1:8" x14ac:dyDescent="0.2">
      <c r="A662" s="43">
        <v>813212</v>
      </c>
      <c r="B662" s="43">
        <v>202105</v>
      </c>
      <c r="C662" s="44">
        <v>72386.62</v>
      </c>
      <c r="D662" s="44">
        <v>5.4</v>
      </c>
      <c r="H662" s="45">
        <v>7</v>
      </c>
    </row>
    <row r="663" spans="1:8" x14ac:dyDescent="0.2">
      <c r="A663" s="43">
        <v>813212</v>
      </c>
      <c r="B663" s="43">
        <v>202106</v>
      </c>
      <c r="C663" s="44">
        <v>100403.46</v>
      </c>
      <c r="D663" s="44">
        <v>5.4</v>
      </c>
      <c r="H663" s="45">
        <v>7</v>
      </c>
    </row>
    <row r="664" spans="1:8" x14ac:dyDescent="0.2">
      <c r="A664" s="43">
        <v>813212</v>
      </c>
      <c r="B664" s="43">
        <v>202107</v>
      </c>
      <c r="C664" s="44">
        <v>85825</v>
      </c>
      <c r="D664" s="44">
        <v>5.4</v>
      </c>
      <c r="H664" s="45">
        <v>7</v>
      </c>
    </row>
    <row r="665" spans="1:8" x14ac:dyDescent="0.2">
      <c r="A665" s="43">
        <v>813212</v>
      </c>
      <c r="B665" s="43">
        <v>202108</v>
      </c>
      <c r="C665" s="44">
        <v>71000</v>
      </c>
      <c r="D665" s="44">
        <v>5.4</v>
      </c>
      <c r="H665" s="45">
        <v>7</v>
      </c>
    </row>
    <row r="666" spans="1:8" x14ac:dyDescent="0.2">
      <c r="A666" s="43">
        <v>813212</v>
      </c>
      <c r="B666" s="43">
        <v>202109</v>
      </c>
      <c r="C666" s="44">
        <f>71000+5350</f>
        <v>76350</v>
      </c>
      <c r="D666" s="44">
        <v>5.4</v>
      </c>
      <c r="H666" s="45">
        <v>7</v>
      </c>
    </row>
    <row r="667" spans="1:8" x14ac:dyDescent="0.2">
      <c r="A667" s="43">
        <v>813212</v>
      </c>
      <c r="B667" s="43">
        <v>202110</v>
      </c>
      <c r="C667" s="44">
        <v>71000</v>
      </c>
      <c r="D667" s="44">
        <v>5.4</v>
      </c>
      <c r="H667" s="45">
        <v>7</v>
      </c>
    </row>
    <row r="668" spans="1:8" x14ac:dyDescent="0.2">
      <c r="A668" s="43">
        <v>813212</v>
      </c>
      <c r="B668" s="43">
        <v>202111</v>
      </c>
      <c r="C668" s="44">
        <v>71000</v>
      </c>
      <c r="D668" s="44">
        <v>5.4</v>
      </c>
      <c r="H668" s="45">
        <v>7</v>
      </c>
    </row>
    <row r="669" spans="1:8" x14ac:dyDescent="0.2">
      <c r="A669" s="43">
        <v>813212</v>
      </c>
      <c r="B669" s="43">
        <v>202112</v>
      </c>
      <c r="C669" s="44">
        <v>71000</v>
      </c>
      <c r="D669" s="44">
        <v>5.4</v>
      </c>
      <c r="F669" s="67" cm="1">
        <f t="array" ref="F669">SUM(D658:D669/12)</f>
        <v>5.4000000000000012</v>
      </c>
      <c r="H669" s="45">
        <v>7</v>
      </c>
    </row>
    <row r="670" spans="1:8" x14ac:dyDescent="0.2">
      <c r="A670" s="46" t="s">
        <v>783</v>
      </c>
      <c r="B670" s="43"/>
      <c r="C670" s="47">
        <f>SUM(C658:C669)</f>
        <v>890694.94</v>
      </c>
      <c r="H670" s="45"/>
    </row>
    <row r="671" spans="1:8" x14ac:dyDescent="0.2">
      <c r="A671" s="43">
        <v>813213</v>
      </c>
      <c r="B671" s="43">
        <v>202101</v>
      </c>
      <c r="C671" s="44">
        <v>47451.21</v>
      </c>
      <c r="D671" s="44">
        <v>4.5999999999999996</v>
      </c>
      <c r="H671" s="45">
        <v>5</v>
      </c>
    </row>
    <row r="672" spans="1:8" x14ac:dyDescent="0.2">
      <c r="A672" s="43">
        <v>813213</v>
      </c>
      <c r="B672" s="43">
        <v>202102</v>
      </c>
      <c r="C672" s="44">
        <v>47448.21</v>
      </c>
      <c r="D672" s="44">
        <v>4.5999999999999996</v>
      </c>
      <c r="H672" s="45">
        <v>5</v>
      </c>
    </row>
    <row r="673" spans="1:8" x14ac:dyDescent="0.2">
      <c r="A673" s="43">
        <v>813213</v>
      </c>
      <c r="B673" s="43">
        <v>202103</v>
      </c>
      <c r="C673" s="44">
        <v>54359.76</v>
      </c>
      <c r="D673" s="44">
        <v>5.4</v>
      </c>
      <c r="H673" s="45">
        <v>6</v>
      </c>
    </row>
    <row r="674" spans="1:8" x14ac:dyDescent="0.2">
      <c r="A674" s="43">
        <v>813213</v>
      </c>
      <c r="B674" s="43">
        <v>202104</v>
      </c>
      <c r="C674" s="44">
        <v>61365.56</v>
      </c>
      <c r="D674" s="44">
        <v>5.4</v>
      </c>
      <c r="H674" s="45">
        <v>6</v>
      </c>
    </row>
    <row r="675" spans="1:8" x14ac:dyDescent="0.2">
      <c r="A675" s="43">
        <v>813213</v>
      </c>
      <c r="B675" s="43">
        <v>202105</v>
      </c>
      <c r="C675" s="44">
        <v>61043.23</v>
      </c>
      <c r="D675" s="44">
        <v>5.6</v>
      </c>
      <c r="H675" s="45">
        <v>6</v>
      </c>
    </row>
    <row r="676" spans="1:8" x14ac:dyDescent="0.2">
      <c r="A676" s="43">
        <v>813213</v>
      </c>
      <c r="B676" s="43">
        <v>202106</v>
      </c>
      <c r="C676" s="44">
        <v>96999.15</v>
      </c>
      <c r="D676" s="44">
        <v>5.6</v>
      </c>
      <c r="H676" s="45">
        <v>6</v>
      </c>
    </row>
    <row r="677" spans="1:8" x14ac:dyDescent="0.2">
      <c r="A677" s="43">
        <v>813213</v>
      </c>
      <c r="B677" s="43">
        <v>202107</v>
      </c>
      <c r="C677" s="44">
        <v>75917.67</v>
      </c>
      <c r="D677" s="44">
        <v>5.6</v>
      </c>
      <c r="H677" s="45">
        <v>6</v>
      </c>
    </row>
    <row r="678" spans="1:8" x14ac:dyDescent="0.2">
      <c r="A678" s="43">
        <v>813213</v>
      </c>
      <c r="B678" s="43">
        <v>202108</v>
      </c>
      <c r="C678" s="44">
        <v>61500</v>
      </c>
      <c r="D678" s="44">
        <v>5.6</v>
      </c>
      <c r="H678" s="45">
        <v>6</v>
      </c>
    </row>
    <row r="679" spans="1:8" x14ac:dyDescent="0.2">
      <c r="A679" s="43">
        <v>813213</v>
      </c>
      <c r="B679" s="43">
        <v>202109</v>
      </c>
      <c r="C679" s="44">
        <f>61500+5000</f>
        <v>66500</v>
      </c>
      <c r="D679" s="44">
        <v>5.6</v>
      </c>
      <c r="H679" s="45">
        <v>6</v>
      </c>
    </row>
    <row r="680" spans="1:8" x14ac:dyDescent="0.2">
      <c r="A680" s="43">
        <v>813213</v>
      </c>
      <c r="B680" s="43">
        <v>202110</v>
      </c>
      <c r="C680" s="44">
        <v>61500</v>
      </c>
      <c r="D680" s="44">
        <v>5.6</v>
      </c>
      <c r="H680" s="45">
        <v>6</v>
      </c>
    </row>
    <row r="681" spans="1:8" x14ac:dyDescent="0.2">
      <c r="A681" s="43">
        <v>813213</v>
      </c>
      <c r="B681" s="43">
        <v>202111</v>
      </c>
      <c r="C681" s="44">
        <v>61500</v>
      </c>
      <c r="D681" s="44">
        <v>5.6</v>
      </c>
      <c r="H681" s="45">
        <v>6</v>
      </c>
    </row>
    <row r="682" spans="1:8" x14ac:dyDescent="0.2">
      <c r="A682" s="43">
        <v>813213</v>
      </c>
      <c r="B682" s="43">
        <v>202112</v>
      </c>
      <c r="C682" s="44">
        <v>61500</v>
      </c>
      <c r="D682" s="44">
        <v>5.6</v>
      </c>
      <c r="F682" s="67" cm="1">
        <f t="array" ref="F682">SUM(D671:D682/12)</f>
        <v>5.4</v>
      </c>
      <c r="H682" s="45">
        <v>6</v>
      </c>
    </row>
    <row r="683" spans="1:8" x14ac:dyDescent="0.2">
      <c r="A683" s="46" t="s">
        <v>784</v>
      </c>
      <c r="B683" s="43"/>
      <c r="C683" s="47">
        <f>SUM(C671:C682)</f>
        <v>757084.79</v>
      </c>
      <c r="H683" s="45"/>
    </row>
    <row r="684" spans="1:8" x14ac:dyDescent="0.2">
      <c r="A684" s="43">
        <v>813214</v>
      </c>
      <c r="B684" s="43">
        <v>202101</v>
      </c>
      <c r="C684" s="44">
        <v>47726.29</v>
      </c>
      <c r="D684" s="44">
        <v>4.54</v>
      </c>
      <c r="H684" s="45">
        <v>6</v>
      </c>
    </row>
    <row r="685" spans="1:8" x14ac:dyDescent="0.2">
      <c r="A685" s="43">
        <v>813214</v>
      </c>
      <c r="B685" s="43">
        <v>202102</v>
      </c>
      <c r="C685" s="44">
        <v>46208.08</v>
      </c>
      <c r="D685" s="44">
        <v>4.54</v>
      </c>
      <c r="H685" s="45">
        <v>6</v>
      </c>
    </row>
    <row r="686" spans="1:8" x14ac:dyDescent="0.2">
      <c r="A686" s="43">
        <v>813214</v>
      </c>
      <c r="B686" s="43">
        <v>202103</v>
      </c>
      <c r="C686" s="44">
        <v>46609.01</v>
      </c>
      <c r="D686" s="44">
        <v>4.54</v>
      </c>
      <c r="H686" s="45">
        <v>6</v>
      </c>
    </row>
    <row r="687" spans="1:8" x14ac:dyDescent="0.2">
      <c r="A687" s="43">
        <v>813214</v>
      </c>
      <c r="B687" s="43">
        <v>202104</v>
      </c>
      <c r="C687" s="44">
        <v>46523.41</v>
      </c>
      <c r="D687" s="44">
        <v>4.54</v>
      </c>
      <c r="H687" s="45">
        <v>6</v>
      </c>
    </row>
    <row r="688" spans="1:8" x14ac:dyDescent="0.2">
      <c r="A688" s="43">
        <v>813214</v>
      </c>
      <c r="B688" s="43">
        <v>202105</v>
      </c>
      <c r="C688" s="44">
        <v>50844.480000000003</v>
      </c>
      <c r="D688" s="44">
        <v>4.54</v>
      </c>
      <c r="H688" s="45">
        <v>6</v>
      </c>
    </row>
    <row r="689" spans="1:8" x14ac:dyDescent="0.2">
      <c r="A689" s="43">
        <v>813214</v>
      </c>
      <c r="B689" s="43">
        <v>202106</v>
      </c>
      <c r="C689" s="44">
        <v>74183.98</v>
      </c>
      <c r="D689" s="44">
        <v>4.54</v>
      </c>
      <c r="H689" s="45">
        <v>6</v>
      </c>
    </row>
    <row r="690" spans="1:8" x14ac:dyDescent="0.2">
      <c r="A690" s="43">
        <v>813214</v>
      </c>
      <c r="B690" s="43">
        <v>202107</v>
      </c>
      <c r="C690" s="44">
        <v>51365.23</v>
      </c>
      <c r="D690" s="44">
        <v>3.84</v>
      </c>
      <c r="H690" s="45">
        <v>5</v>
      </c>
    </row>
    <row r="691" spans="1:8" x14ac:dyDescent="0.2">
      <c r="A691" s="43">
        <v>813214</v>
      </c>
      <c r="B691" s="43">
        <v>202108</v>
      </c>
      <c r="C691" s="44">
        <v>50000</v>
      </c>
      <c r="D691" s="44">
        <v>3.84</v>
      </c>
      <c r="H691" s="45">
        <v>5</v>
      </c>
    </row>
    <row r="692" spans="1:8" x14ac:dyDescent="0.2">
      <c r="A692" s="43">
        <v>813214</v>
      </c>
      <c r="B692" s="43">
        <v>202109</v>
      </c>
      <c r="C692" s="44">
        <v>50000</v>
      </c>
      <c r="D692" s="44">
        <v>3.84</v>
      </c>
      <c r="H692" s="45">
        <v>5</v>
      </c>
    </row>
    <row r="693" spans="1:8" x14ac:dyDescent="0.2">
      <c r="A693" s="43">
        <v>813214</v>
      </c>
      <c r="B693" s="43">
        <v>202110</v>
      </c>
      <c r="C693" s="44">
        <v>50000</v>
      </c>
      <c r="D693" s="44">
        <v>3.84</v>
      </c>
      <c r="H693" s="45">
        <v>5</v>
      </c>
    </row>
    <row r="694" spans="1:8" x14ac:dyDescent="0.2">
      <c r="A694" s="43">
        <v>813214</v>
      </c>
      <c r="B694" s="43">
        <v>202111</v>
      </c>
      <c r="C694" s="44">
        <v>50000</v>
      </c>
      <c r="D694" s="44">
        <v>3.84</v>
      </c>
      <c r="H694" s="45">
        <v>5</v>
      </c>
    </row>
    <row r="695" spans="1:8" x14ac:dyDescent="0.2">
      <c r="A695" s="43">
        <v>813214</v>
      </c>
      <c r="B695" s="43">
        <v>202112</v>
      </c>
      <c r="C695" s="44">
        <v>50000</v>
      </c>
      <c r="D695" s="44">
        <v>3.84</v>
      </c>
      <c r="F695" s="67" cm="1">
        <f t="array" ref="F695">SUM(D684:D695/12)</f>
        <v>4.1899999999999995</v>
      </c>
      <c r="H695" s="45">
        <v>5</v>
      </c>
    </row>
    <row r="696" spans="1:8" x14ac:dyDescent="0.2">
      <c r="A696" s="46" t="s">
        <v>785</v>
      </c>
      <c r="B696" s="43"/>
      <c r="C696" s="47">
        <f>SUM(C684:C695)</f>
        <v>613460.47999999998</v>
      </c>
      <c r="H696" s="45"/>
    </row>
    <row r="697" spans="1:8" x14ac:dyDescent="0.2">
      <c r="A697" s="43">
        <v>813215</v>
      </c>
      <c r="B697" s="43">
        <v>202101</v>
      </c>
      <c r="C697" s="44">
        <v>46976.46</v>
      </c>
      <c r="D697" s="44">
        <v>3.6</v>
      </c>
      <c r="H697" s="45">
        <v>4</v>
      </c>
    </row>
    <row r="698" spans="1:8" x14ac:dyDescent="0.2">
      <c r="A698" s="43">
        <v>813215</v>
      </c>
      <c r="B698" s="43">
        <v>202102</v>
      </c>
      <c r="C698" s="44">
        <v>51278.11</v>
      </c>
      <c r="D698" s="44">
        <v>3.6</v>
      </c>
      <c r="H698" s="45">
        <v>4</v>
      </c>
    </row>
    <row r="699" spans="1:8" x14ac:dyDescent="0.2">
      <c r="A699" s="43">
        <v>813215</v>
      </c>
      <c r="B699" s="43">
        <v>202103</v>
      </c>
      <c r="C699" s="44">
        <v>49105.97</v>
      </c>
      <c r="D699" s="44">
        <v>3.6</v>
      </c>
      <c r="H699" s="45">
        <v>4</v>
      </c>
    </row>
    <row r="700" spans="1:8" x14ac:dyDescent="0.2">
      <c r="A700" s="43">
        <v>813215</v>
      </c>
      <c r="B700" s="43">
        <v>202104</v>
      </c>
      <c r="C700" s="44">
        <v>41505.32</v>
      </c>
      <c r="D700" s="44">
        <v>3</v>
      </c>
      <c r="H700" s="45">
        <v>3</v>
      </c>
    </row>
    <row r="701" spans="1:8" x14ac:dyDescent="0.2">
      <c r="A701" s="43">
        <v>813215</v>
      </c>
      <c r="B701" s="43">
        <v>202105</v>
      </c>
      <c r="C701" s="44">
        <v>43281.07</v>
      </c>
      <c r="D701" s="44">
        <v>3</v>
      </c>
      <c r="H701" s="45">
        <v>3</v>
      </c>
    </row>
    <row r="702" spans="1:8" x14ac:dyDescent="0.2">
      <c r="A702" s="43">
        <v>813215</v>
      </c>
      <c r="B702" s="43">
        <v>202106</v>
      </c>
      <c r="C702" s="44">
        <v>61587.39</v>
      </c>
      <c r="D702" s="44">
        <v>3</v>
      </c>
      <c r="H702" s="45">
        <v>3</v>
      </c>
    </row>
    <row r="703" spans="1:8" x14ac:dyDescent="0.2">
      <c r="A703" s="43">
        <v>813215</v>
      </c>
      <c r="B703" s="43">
        <v>202107</v>
      </c>
      <c r="C703" s="44">
        <v>51090.99</v>
      </c>
      <c r="D703" s="44">
        <v>3</v>
      </c>
      <c r="H703" s="45">
        <v>3</v>
      </c>
    </row>
    <row r="704" spans="1:8" x14ac:dyDescent="0.2">
      <c r="A704" s="43">
        <v>813215</v>
      </c>
      <c r="B704" s="43">
        <v>202108</v>
      </c>
      <c r="C704" s="44">
        <v>45000</v>
      </c>
      <c r="D704" s="44">
        <v>3</v>
      </c>
      <c r="H704" s="45">
        <v>3</v>
      </c>
    </row>
    <row r="705" spans="1:8" x14ac:dyDescent="0.2">
      <c r="A705" s="43">
        <v>813215</v>
      </c>
      <c r="B705" s="43">
        <v>202109</v>
      </c>
      <c r="C705" s="44">
        <v>45000</v>
      </c>
      <c r="D705" s="44">
        <v>3</v>
      </c>
      <c r="H705" s="45">
        <v>3</v>
      </c>
    </row>
    <row r="706" spans="1:8" x14ac:dyDescent="0.2">
      <c r="A706" s="43">
        <v>813215</v>
      </c>
      <c r="B706" s="43">
        <v>202110</v>
      </c>
      <c r="C706" s="44">
        <v>45000</v>
      </c>
      <c r="D706" s="44">
        <v>3</v>
      </c>
      <c r="H706" s="45">
        <v>3</v>
      </c>
    </row>
    <row r="707" spans="1:8" x14ac:dyDescent="0.2">
      <c r="A707" s="43">
        <v>813215</v>
      </c>
      <c r="B707" s="43">
        <v>202111</v>
      </c>
      <c r="C707" s="44">
        <v>45000</v>
      </c>
      <c r="D707" s="44">
        <v>3</v>
      </c>
      <c r="H707" s="45">
        <v>3</v>
      </c>
    </row>
    <row r="708" spans="1:8" x14ac:dyDescent="0.2">
      <c r="A708" s="43">
        <v>813215</v>
      </c>
      <c r="B708" s="43">
        <v>202112</v>
      </c>
      <c r="C708" s="44">
        <v>45000</v>
      </c>
      <c r="D708" s="44">
        <v>3</v>
      </c>
      <c r="F708" s="67" cm="1">
        <f t="array" ref="F708">SUM(D697:D708/12)</f>
        <v>3.15</v>
      </c>
      <c r="H708" s="45">
        <v>3</v>
      </c>
    </row>
    <row r="709" spans="1:8" x14ac:dyDescent="0.2">
      <c r="A709" s="46" t="s">
        <v>786</v>
      </c>
      <c r="B709" s="43"/>
      <c r="C709" s="47">
        <f>SUM(C697:C708)</f>
        <v>569825.31000000006</v>
      </c>
      <c r="H709" s="45"/>
    </row>
    <row r="710" spans="1:8" x14ac:dyDescent="0.2">
      <c r="A710" s="43">
        <v>813216</v>
      </c>
      <c r="B710" s="43">
        <v>202101</v>
      </c>
      <c r="C710" s="44">
        <v>38878.5</v>
      </c>
      <c r="D710" s="44">
        <v>3.8</v>
      </c>
      <c r="H710" s="45">
        <v>5</v>
      </c>
    </row>
    <row r="711" spans="1:8" x14ac:dyDescent="0.2">
      <c r="A711" s="43">
        <v>813216</v>
      </c>
      <c r="B711" s="43">
        <v>202102</v>
      </c>
      <c r="C711" s="44">
        <v>40177.879999999997</v>
      </c>
      <c r="D711" s="44">
        <v>3.8</v>
      </c>
      <c r="H711" s="45">
        <v>5</v>
      </c>
    </row>
    <row r="712" spans="1:8" x14ac:dyDescent="0.2">
      <c r="A712" s="43">
        <v>813216</v>
      </c>
      <c r="B712" s="43">
        <v>202103</v>
      </c>
      <c r="C712" s="44">
        <v>39630.49</v>
      </c>
      <c r="D712" s="44">
        <v>3.8</v>
      </c>
      <c r="H712" s="45">
        <v>5</v>
      </c>
    </row>
    <row r="713" spans="1:8" x14ac:dyDescent="0.2">
      <c r="A713" s="43">
        <v>813216</v>
      </c>
      <c r="B713" s="43">
        <v>202104</v>
      </c>
      <c r="C713" s="44">
        <v>38679.74</v>
      </c>
      <c r="D713" s="44">
        <v>3.8</v>
      </c>
      <c r="H713" s="45">
        <v>5</v>
      </c>
    </row>
    <row r="714" spans="1:8" x14ac:dyDescent="0.2">
      <c r="A714" s="43">
        <v>813216</v>
      </c>
      <c r="B714" s="43">
        <v>202105</v>
      </c>
      <c r="C714" s="44">
        <v>41180.269999999997</v>
      </c>
      <c r="D714" s="44">
        <v>3.8</v>
      </c>
      <c r="H714" s="45">
        <v>5</v>
      </c>
    </row>
    <row r="715" spans="1:8" x14ac:dyDescent="0.2">
      <c r="A715" s="43">
        <v>813216</v>
      </c>
      <c r="B715" s="43">
        <v>202106</v>
      </c>
      <c r="C715" s="44">
        <v>63686.3</v>
      </c>
      <c r="D715" s="44">
        <v>3.8</v>
      </c>
      <c r="H715" s="45">
        <v>5</v>
      </c>
    </row>
    <row r="716" spans="1:8" x14ac:dyDescent="0.2">
      <c r="A716" s="43">
        <v>813216</v>
      </c>
      <c r="B716" s="43">
        <v>202107</v>
      </c>
      <c r="C716" s="44">
        <v>51515.17</v>
      </c>
      <c r="D716" s="44">
        <v>3.8</v>
      </c>
      <c r="H716" s="45">
        <v>5</v>
      </c>
    </row>
    <row r="717" spans="1:8" x14ac:dyDescent="0.2">
      <c r="A717" s="43">
        <v>813216</v>
      </c>
      <c r="B717" s="43">
        <v>202108</v>
      </c>
      <c r="C717" s="44">
        <v>42000</v>
      </c>
      <c r="D717" s="44">
        <v>3.8</v>
      </c>
      <c r="H717" s="45">
        <v>5</v>
      </c>
    </row>
    <row r="718" spans="1:8" x14ac:dyDescent="0.2">
      <c r="A718" s="43">
        <v>813216</v>
      </c>
      <c r="B718" s="43">
        <v>202109</v>
      </c>
      <c r="C718" s="44">
        <v>42000</v>
      </c>
      <c r="D718" s="44">
        <v>3.8</v>
      </c>
      <c r="H718" s="45">
        <v>5</v>
      </c>
    </row>
    <row r="719" spans="1:8" x14ac:dyDescent="0.2">
      <c r="A719" s="43">
        <v>813216</v>
      </c>
      <c r="B719" s="43">
        <v>202110</v>
      </c>
      <c r="C719" s="44">
        <v>42000</v>
      </c>
      <c r="D719" s="44">
        <v>3.8</v>
      </c>
      <c r="H719" s="45">
        <v>5</v>
      </c>
    </row>
    <row r="720" spans="1:8" x14ac:dyDescent="0.2">
      <c r="A720" s="43">
        <v>813216</v>
      </c>
      <c r="B720" s="43">
        <v>202111</v>
      </c>
      <c r="C720" s="44">
        <v>42000</v>
      </c>
      <c r="D720" s="44">
        <v>3.8</v>
      </c>
      <c r="H720" s="45">
        <v>5</v>
      </c>
    </row>
    <row r="721" spans="1:8" x14ac:dyDescent="0.2">
      <c r="A721" s="43">
        <v>813216</v>
      </c>
      <c r="B721" s="43">
        <v>202112</v>
      </c>
      <c r="C721" s="44">
        <v>42000</v>
      </c>
      <c r="D721" s="44">
        <v>3.8</v>
      </c>
      <c r="F721" s="67" cm="1">
        <f t="array" ref="F721">SUM(D710:D721/12)</f>
        <v>3.7999999999999989</v>
      </c>
      <c r="H721" s="45">
        <v>5</v>
      </c>
    </row>
    <row r="722" spans="1:8" x14ac:dyDescent="0.2">
      <c r="A722" s="46" t="s">
        <v>787</v>
      </c>
      <c r="B722" s="43"/>
      <c r="C722" s="47">
        <f>SUM(C710:C721)</f>
        <v>523748.35</v>
      </c>
      <c r="H722" s="45"/>
    </row>
    <row r="723" spans="1:8" x14ac:dyDescent="0.2">
      <c r="A723" s="43">
        <v>813217</v>
      </c>
      <c r="B723" s="43">
        <v>202101</v>
      </c>
      <c r="C723" s="44">
        <v>39814.730000000003</v>
      </c>
      <c r="D723" s="44">
        <v>3.6</v>
      </c>
      <c r="H723" s="45">
        <v>4</v>
      </c>
    </row>
    <row r="724" spans="1:8" x14ac:dyDescent="0.2">
      <c r="A724" s="43">
        <v>813217</v>
      </c>
      <c r="B724" s="43">
        <v>202102</v>
      </c>
      <c r="C724" s="44">
        <v>40550.19</v>
      </c>
      <c r="D724" s="44">
        <v>3.6</v>
      </c>
      <c r="H724" s="45">
        <v>4</v>
      </c>
    </row>
    <row r="725" spans="1:8" x14ac:dyDescent="0.2">
      <c r="A725" s="43">
        <v>813217</v>
      </c>
      <c r="B725" s="43">
        <v>202103</v>
      </c>
      <c r="C725" s="44">
        <v>30297.65</v>
      </c>
      <c r="D725" s="44">
        <v>2.6</v>
      </c>
      <c r="H725" s="45">
        <v>4</v>
      </c>
    </row>
    <row r="726" spans="1:8" x14ac:dyDescent="0.2">
      <c r="A726" s="43">
        <v>813217</v>
      </c>
      <c r="B726" s="43">
        <v>202104</v>
      </c>
      <c r="C726" s="44">
        <v>21558.75</v>
      </c>
      <c r="D726" s="44">
        <v>2</v>
      </c>
      <c r="H726" s="45">
        <v>2</v>
      </c>
    </row>
    <row r="727" spans="1:8" x14ac:dyDescent="0.2">
      <c r="A727" s="43">
        <v>813217</v>
      </c>
      <c r="B727" s="43">
        <v>202105</v>
      </c>
      <c r="C727" s="44">
        <v>38228.339999999997</v>
      </c>
      <c r="D727" s="44">
        <v>3</v>
      </c>
      <c r="H727" s="45">
        <v>3</v>
      </c>
    </row>
    <row r="728" spans="1:8" x14ac:dyDescent="0.2">
      <c r="A728" s="43">
        <v>813217</v>
      </c>
      <c r="B728" s="43">
        <v>202106</v>
      </c>
      <c r="C728" s="44">
        <v>56431.53</v>
      </c>
      <c r="D728" s="44">
        <v>3</v>
      </c>
      <c r="H728" s="45">
        <v>3</v>
      </c>
    </row>
    <row r="729" spans="1:8" x14ac:dyDescent="0.2">
      <c r="A729" s="43">
        <v>813217</v>
      </c>
      <c r="B729" s="43">
        <v>202107</v>
      </c>
      <c r="C729" s="44">
        <v>43624.5</v>
      </c>
      <c r="D729" s="44">
        <v>3</v>
      </c>
      <c r="H729" s="45">
        <v>3</v>
      </c>
    </row>
    <row r="730" spans="1:8" x14ac:dyDescent="0.2">
      <c r="A730" s="43">
        <v>813217</v>
      </c>
      <c r="B730" s="43">
        <v>202108</v>
      </c>
      <c r="C730" s="44">
        <v>38000</v>
      </c>
      <c r="D730" s="44">
        <v>3</v>
      </c>
      <c r="H730" s="45">
        <v>3</v>
      </c>
    </row>
    <row r="731" spans="1:8" x14ac:dyDescent="0.2">
      <c r="A731" s="43">
        <v>813217</v>
      </c>
      <c r="B731" s="43">
        <v>202109</v>
      </c>
      <c r="C731" s="44">
        <v>38000</v>
      </c>
      <c r="D731" s="44">
        <v>3</v>
      </c>
      <c r="H731" s="45">
        <v>3</v>
      </c>
    </row>
    <row r="732" spans="1:8" x14ac:dyDescent="0.2">
      <c r="A732" s="43">
        <v>813217</v>
      </c>
      <c r="B732" s="43">
        <v>202110</v>
      </c>
      <c r="C732" s="44">
        <f>38000+2500</f>
        <v>40500</v>
      </c>
      <c r="D732" s="44">
        <v>3</v>
      </c>
      <c r="H732" s="45">
        <v>3</v>
      </c>
    </row>
    <row r="733" spans="1:8" x14ac:dyDescent="0.2">
      <c r="A733" s="43">
        <v>813217</v>
      </c>
      <c r="B733" s="43">
        <v>202111</v>
      </c>
      <c r="C733" s="44">
        <v>38000</v>
      </c>
      <c r="D733" s="44">
        <v>3</v>
      </c>
      <c r="H733" s="45">
        <v>3</v>
      </c>
    </row>
    <row r="734" spans="1:8" x14ac:dyDescent="0.2">
      <c r="A734" s="43">
        <v>813217</v>
      </c>
      <c r="B734" s="43">
        <v>202112</v>
      </c>
      <c r="C734" s="44">
        <v>38000</v>
      </c>
      <c r="D734" s="44">
        <v>3</v>
      </c>
      <c r="F734" s="67" cm="1">
        <f t="array" ref="F734">SUM(D723:D734/12)</f>
        <v>2.9833333333333334</v>
      </c>
      <c r="H734" s="45">
        <v>3</v>
      </c>
    </row>
    <row r="735" spans="1:8" x14ac:dyDescent="0.2">
      <c r="A735" s="46" t="s">
        <v>788</v>
      </c>
      <c r="B735" s="43"/>
      <c r="C735" s="47">
        <f>SUM(C723:C734)</f>
        <v>463005.69</v>
      </c>
      <c r="H735" s="45"/>
    </row>
    <row r="736" spans="1:8" x14ac:dyDescent="0.2">
      <c r="A736" s="43">
        <v>813218</v>
      </c>
      <c r="B736" s="43">
        <v>202101</v>
      </c>
      <c r="C736" s="44">
        <v>60299.31</v>
      </c>
      <c r="D736" s="44">
        <v>7.25</v>
      </c>
      <c r="H736" s="45">
        <v>9</v>
      </c>
    </row>
    <row r="737" spans="1:8" x14ac:dyDescent="0.2">
      <c r="A737" s="43">
        <v>813218</v>
      </c>
      <c r="B737" s="43">
        <v>202102</v>
      </c>
      <c r="C737" s="44">
        <v>67858.14</v>
      </c>
      <c r="D737" s="44">
        <v>7.25</v>
      </c>
      <c r="H737" s="45">
        <v>9</v>
      </c>
    </row>
    <row r="738" spans="1:8" x14ac:dyDescent="0.2">
      <c r="A738" s="43">
        <v>813218</v>
      </c>
      <c r="B738" s="43">
        <v>202103</v>
      </c>
      <c r="C738" s="44">
        <v>74272.41</v>
      </c>
      <c r="D738" s="44">
        <v>7.25</v>
      </c>
      <c r="H738" s="45">
        <v>9</v>
      </c>
    </row>
    <row r="739" spans="1:8" x14ac:dyDescent="0.2">
      <c r="A739" s="43">
        <v>813218</v>
      </c>
      <c r="B739" s="43">
        <v>202104</v>
      </c>
      <c r="C739" s="44">
        <v>72715.55</v>
      </c>
      <c r="D739" s="44">
        <v>7.25</v>
      </c>
      <c r="H739" s="45">
        <v>9</v>
      </c>
    </row>
    <row r="740" spans="1:8" x14ac:dyDescent="0.2">
      <c r="A740" s="43">
        <v>813218</v>
      </c>
      <c r="B740" s="43">
        <v>202105</v>
      </c>
      <c r="C740" s="44">
        <v>75643.06</v>
      </c>
      <c r="D740" s="44">
        <v>7.25</v>
      </c>
      <c r="H740" s="45">
        <v>9</v>
      </c>
    </row>
    <row r="741" spans="1:8" x14ac:dyDescent="0.2">
      <c r="A741" s="43">
        <v>813218</v>
      </c>
      <c r="B741" s="43">
        <v>202106</v>
      </c>
      <c r="C741" s="44">
        <v>107365.14</v>
      </c>
      <c r="D741" s="44">
        <v>6.65</v>
      </c>
      <c r="H741" s="45">
        <v>9</v>
      </c>
    </row>
    <row r="742" spans="1:8" x14ac:dyDescent="0.2">
      <c r="A742" s="43">
        <v>813218</v>
      </c>
      <c r="B742" s="43">
        <v>202107</v>
      </c>
      <c r="C742" s="44">
        <v>85124.13</v>
      </c>
      <c r="D742" s="44">
        <v>6.65</v>
      </c>
      <c r="H742" s="45">
        <v>8</v>
      </c>
    </row>
    <row r="743" spans="1:8" x14ac:dyDescent="0.2">
      <c r="A743" s="43">
        <v>813218</v>
      </c>
      <c r="B743" s="43">
        <v>202108</v>
      </c>
      <c r="C743" s="44">
        <v>75500</v>
      </c>
      <c r="D743" s="44">
        <v>6.65</v>
      </c>
      <c r="H743" s="45">
        <v>8</v>
      </c>
    </row>
    <row r="744" spans="1:8" x14ac:dyDescent="0.2">
      <c r="A744" s="43">
        <v>813218</v>
      </c>
      <c r="B744" s="43">
        <v>202109</v>
      </c>
      <c r="C744" s="44">
        <v>75500</v>
      </c>
      <c r="D744" s="44">
        <v>6.65</v>
      </c>
      <c r="H744" s="45">
        <v>8</v>
      </c>
    </row>
    <row r="745" spans="1:8" x14ac:dyDescent="0.2">
      <c r="A745" s="43">
        <v>813218</v>
      </c>
      <c r="B745" s="43">
        <v>202110</v>
      </c>
      <c r="C745" s="44">
        <v>75500</v>
      </c>
      <c r="D745" s="44">
        <v>6.65</v>
      </c>
      <c r="H745" s="45">
        <v>8</v>
      </c>
    </row>
    <row r="746" spans="1:8" x14ac:dyDescent="0.2">
      <c r="A746" s="43">
        <v>813218</v>
      </c>
      <c r="B746" s="43">
        <v>202111</v>
      </c>
      <c r="C746" s="44">
        <v>75500</v>
      </c>
      <c r="D746" s="44">
        <v>6.65</v>
      </c>
      <c r="H746" s="45">
        <v>8</v>
      </c>
    </row>
    <row r="747" spans="1:8" x14ac:dyDescent="0.2">
      <c r="A747" s="43">
        <v>813218</v>
      </c>
      <c r="B747" s="43">
        <v>202112</v>
      </c>
      <c r="C747" s="44">
        <v>75500</v>
      </c>
      <c r="D747" s="44">
        <v>6.65</v>
      </c>
      <c r="F747" s="67" cm="1">
        <f t="array" ref="F747">SUM(D736:D747/12)</f>
        <v>6.9000000000000021</v>
      </c>
      <c r="H747" s="45">
        <v>8</v>
      </c>
    </row>
    <row r="748" spans="1:8" x14ac:dyDescent="0.2">
      <c r="A748" s="46" t="s">
        <v>789</v>
      </c>
      <c r="B748" s="43"/>
      <c r="C748" s="47">
        <f>SUM(C736:C747)</f>
        <v>920777.74</v>
      </c>
      <c r="H748" s="45"/>
    </row>
    <row r="749" spans="1:8" x14ac:dyDescent="0.2">
      <c r="A749" s="43">
        <v>813219</v>
      </c>
      <c r="B749" s="43">
        <v>202101</v>
      </c>
      <c r="C749" s="44">
        <v>29533.919999999998</v>
      </c>
      <c r="D749" s="44">
        <v>2.94</v>
      </c>
      <c r="H749" s="45">
        <v>5</v>
      </c>
    </row>
    <row r="750" spans="1:8" x14ac:dyDescent="0.2">
      <c r="A750" s="43">
        <v>813219</v>
      </c>
      <c r="B750" s="43">
        <v>202102</v>
      </c>
      <c r="C750" s="44">
        <v>26772.78</v>
      </c>
      <c r="D750" s="44">
        <v>2.94</v>
      </c>
      <c r="H750" s="45">
        <v>5</v>
      </c>
    </row>
    <row r="751" spans="1:8" x14ac:dyDescent="0.2">
      <c r="A751" s="43">
        <v>813219</v>
      </c>
      <c r="B751" s="43">
        <v>202103</v>
      </c>
      <c r="C751" s="44">
        <v>30063.95</v>
      </c>
      <c r="D751" s="44">
        <v>2.94</v>
      </c>
      <c r="H751" s="45">
        <v>5</v>
      </c>
    </row>
    <row r="752" spans="1:8" x14ac:dyDescent="0.2">
      <c r="A752" s="43">
        <v>813219</v>
      </c>
      <c r="B752" s="43">
        <v>202104</v>
      </c>
      <c r="C752" s="44">
        <v>31791.34</v>
      </c>
      <c r="D752" s="44">
        <v>2.94</v>
      </c>
      <c r="H752" s="45">
        <v>5</v>
      </c>
    </row>
    <row r="753" spans="1:8" x14ac:dyDescent="0.2">
      <c r="A753" s="43">
        <v>813219</v>
      </c>
      <c r="B753" s="43">
        <v>202105</v>
      </c>
      <c r="C753" s="44">
        <v>33962.33</v>
      </c>
      <c r="D753" s="44">
        <v>2.94</v>
      </c>
      <c r="H753" s="45">
        <v>5</v>
      </c>
    </row>
    <row r="754" spans="1:8" x14ac:dyDescent="0.2">
      <c r="A754" s="43">
        <v>813219</v>
      </c>
      <c r="B754" s="43">
        <v>202106</v>
      </c>
      <c r="C754" s="44">
        <v>48635.39</v>
      </c>
      <c r="D754" s="44">
        <v>2.34</v>
      </c>
      <c r="H754" s="45">
        <v>5</v>
      </c>
    </row>
    <row r="755" spans="1:8" x14ac:dyDescent="0.2">
      <c r="A755" s="43">
        <v>813219</v>
      </c>
      <c r="B755" s="43">
        <v>202107</v>
      </c>
      <c r="C755" s="44">
        <v>31740.7</v>
      </c>
      <c r="D755" s="44">
        <v>2.34</v>
      </c>
      <c r="H755" s="45">
        <v>4</v>
      </c>
    </row>
    <row r="756" spans="1:8" x14ac:dyDescent="0.2">
      <c r="A756" s="43">
        <v>813219</v>
      </c>
      <c r="B756" s="43">
        <v>202108</v>
      </c>
      <c r="C756" s="44">
        <v>33500</v>
      </c>
      <c r="D756" s="44">
        <v>2.34</v>
      </c>
      <c r="H756" s="45">
        <v>4</v>
      </c>
    </row>
    <row r="757" spans="1:8" x14ac:dyDescent="0.2">
      <c r="A757" s="43">
        <v>813219</v>
      </c>
      <c r="B757" s="43">
        <v>202109</v>
      </c>
      <c r="C757" s="44">
        <v>33500</v>
      </c>
      <c r="D757" s="44">
        <v>2.34</v>
      </c>
      <c r="H757" s="45">
        <v>4</v>
      </c>
    </row>
    <row r="758" spans="1:8" x14ac:dyDescent="0.2">
      <c r="A758" s="43">
        <v>813219</v>
      </c>
      <c r="B758" s="43">
        <v>202110</v>
      </c>
      <c r="C758" s="44">
        <v>33500</v>
      </c>
      <c r="D758" s="44">
        <v>2.34</v>
      </c>
      <c r="H758" s="45">
        <v>4</v>
      </c>
    </row>
    <row r="759" spans="1:8" x14ac:dyDescent="0.2">
      <c r="A759" s="43">
        <v>813219</v>
      </c>
      <c r="B759" s="43">
        <v>202111</v>
      </c>
      <c r="C759" s="44">
        <v>33500</v>
      </c>
      <c r="D759" s="44">
        <v>2.34</v>
      </c>
      <c r="H759" s="45">
        <v>4</v>
      </c>
    </row>
    <row r="760" spans="1:8" x14ac:dyDescent="0.2">
      <c r="A760" s="43">
        <v>813219</v>
      </c>
      <c r="B760" s="43">
        <v>202112</v>
      </c>
      <c r="C760" s="44">
        <v>33500</v>
      </c>
      <c r="D760" s="44">
        <v>2.34</v>
      </c>
      <c r="F760" s="67" cm="1">
        <f t="array" ref="F760">SUM(D749:D760/12)</f>
        <v>2.59</v>
      </c>
      <c r="H760" s="45">
        <v>4</v>
      </c>
    </row>
    <row r="761" spans="1:8" x14ac:dyDescent="0.2">
      <c r="A761" s="46" t="s">
        <v>790</v>
      </c>
      <c r="B761" s="43"/>
      <c r="C761" s="47">
        <f>SUM(C749:C760)</f>
        <v>400000.41000000003</v>
      </c>
      <c r="H761" s="45"/>
    </row>
    <row r="762" spans="1:8" x14ac:dyDescent="0.2">
      <c r="A762" s="43">
        <v>813220</v>
      </c>
      <c r="B762" s="43">
        <v>202101</v>
      </c>
      <c r="C762" s="44">
        <v>63120.4</v>
      </c>
      <c r="D762" s="44">
        <v>6.35</v>
      </c>
      <c r="H762" s="45">
        <v>7</v>
      </c>
    </row>
    <row r="763" spans="1:8" x14ac:dyDescent="0.2">
      <c r="A763" s="43">
        <v>813220</v>
      </c>
      <c r="B763" s="43">
        <v>202102</v>
      </c>
      <c r="C763" s="44">
        <v>61821.05</v>
      </c>
      <c r="D763" s="44">
        <v>6.35</v>
      </c>
      <c r="H763" s="45">
        <v>7</v>
      </c>
    </row>
    <row r="764" spans="1:8" x14ac:dyDescent="0.2">
      <c r="A764" s="43">
        <v>813220</v>
      </c>
      <c r="B764" s="43">
        <v>202103</v>
      </c>
      <c r="C764" s="44">
        <v>61934.59</v>
      </c>
      <c r="D764" s="44">
        <v>6.35</v>
      </c>
      <c r="H764" s="45">
        <v>7</v>
      </c>
    </row>
    <row r="765" spans="1:8" x14ac:dyDescent="0.2">
      <c r="A765" s="43">
        <v>813220</v>
      </c>
      <c r="B765" s="43">
        <v>202104</v>
      </c>
      <c r="C765" s="44">
        <v>62800.57</v>
      </c>
      <c r="D765" s="44">
        <v>6.35</v>
      </c>
      <c r="H765" s="45">
        <v>7</v>
      </c>
    </row>
    <row r="766" spans="1:8" x14ac:dyDescent="0.2">
      <c r="A766" s="43">
        <v>813220</v>
      </c>
      <c r="B766" s="43">
        <v>202105</v>
      </c>
      <c r="C766" s="44">
        <v>66273.490000000005</v>
      </c>
      <c r="D766" s="44">
        <v>6.1559999999999997</v>
      </c>
      <c r="H766" s="45">
        <v>7</v>
      </c>
    </row>
    <row r="767" spans="1:8" x14ac:dyDescent="0.2">
      <c r="A767" s="43">
        <v>813220</v>
      </c>
      <c r="B767" s="43">
        <v>202106</v>
      </c>
      <c r="C767" s="44">
        <v>87113.84</v>
      </c>
      <c r="D767" s="44">
        <v>5.35</v>
      </c>
      <c r="H767" s="45">
        <v>7</v>
      </c>
    </row>
    <row r="768" spans="1:8" x14ac:dyDescent="0.2">
      <c r="A768" s="43">
        <v>813220</v>
      </c>
      <c r="B768" s="43">
        <v>202107</v>
      </c>
      <c r="C768" s="44">
        <v>72539.56</v>
      </c>
      <c r="D768" s="44">
        <v>5.97</v>
      </c>
      <c r="H768" s="45">
        <v>8</v>
      </c>
    </row>
    <row r="769" spans="1:8" x14ac:dyDescent="0.2">
      <c r="A769" s="43">
        <v>813220</v>
      </c>
      <c r="B769" s="43">
        <v>202108</v>
      </c>
      <c r="C769" s="44">
        <v>63000</v>
      </c>
      <c r="D769" s="44">
        <v>5.97</v>
      </c>
      <c r="H769" s="45">
        <v>8</v>
      </c>
    </row>
    <row r="770" spans="1:8" x14ac:dyDescent="0.2">
      <c r="A770" s="43">
        <v>813220</v>
      </c>
      <c r="B770" s="43">
        <v>202109</v>
      </c>
      <c r="C770" s="44">
        <v>63000</v>
      </c>
      <c r="D770" s="44">
        <v>5.97</v>
      </c>
      <c r="H770" s="45">
        <v>8</v>
      </c>
    </row>
    <row r="771" spans="1:8" x14ac:dyDescent="0.2">
      <c r="A771" s="43">
        <v>813220</v>
      </c>
      <c r="B771" s="43">
        <v>202110</v>
      </c>
      <c r="C771" s="44">
        <v>63000</v>
      </c>
      <c r="D771" s="44">
        <v>5.97</v>
      </c>
      <c r="H771" s="45">
        <v>8</v>
      </c>
    </row>
    <row r="772" spans="1:8" x14ac:dyDescent="0.2">
      <c r="A772" s="43">
        <v>813220</v>
      </c>
      <c r="B772" s="43">
        <v>202111</v>
      </c>
      <c r="C772" s="44">
        <v>63000</v>
      </c>
      <c r="D772" s="44">
        <v>5.97</v>
      </c>
      <c r="H772" s="45">
        <v>8</v>
      </c>
    </row>
    <row r="773" spans="1:8" x14ac:dyDescent="0.2">
      <c r="A773" s="43">
        <v>813220</v>
      </c>
      <c r="B773" s="43">
        <v>202112</v>
      </c>
      <c r="C773" s="44">
        <v>63000</v>
      </c>
      <c r="D773" s="44">
        <v>5.97</v>
      </c>
      <c r="F773" s="67" cm="1">
        <f t="array" ref="F773">SUM(D762:D773/12)</f>
        <v>6.0604999999999984</v>
      </c>
      <c r="H773" s="45">
        <v>8</v>
      </c>
    </row>
    <row r="774" spans="1:8" x14ac:dyDescent="0.2">
      <c r="A774" s="46" t="s">
        <v>791</v>
      </c>
      <c r="B774" s="43"/>
      <c r="C774" s="47">
        <f>SUM(C762:C773)</f>
        <v>790603.5</v>
      </c>
      <c r="H774" s="45"/>
    </row>
    <row r="775" spans="1:8" x14ac:dyDescent="0.2">
      <c r="A775" s="43">
        <v>813221</v>
      </c>
      <c r="B775" s="43">
        <v>202101</v>
      </c>
      <c r="C775" s="44">
        <v>4114.32</v>
      </c>
      <c r="D775" s="44">
        <v>0.65</v>
      </c>
      <c r="H775" s="45">
        <v>1</v>
      </c>
    </row>
    <row r="776" spans="1:8" x14ac:dyDescent="0.2">
      <c r="A776" s="43">
        <v>813221</v>
      </c>
      <c r="B776" s="43">
        <v>202102</v>
      </c>
      <c r="C776" s="44">
        <v>3692.6</v>
      </c>
      <c r="D776" s="44">
        <v>0.65</v>
      </c>
      <c r="H776" s="45">
        <v>1</v>
      </c>
    </row>
    <row r="777" spans="1:8" x14ac:dyDescent="0.2">
      <c r="A777" s="43">
        <v>813221</v>
      </c>
      <c r="B777" s="43">
        <v>202103</v>
      </c>
      <c r="C777" s="44">
        <v>5540.38</v>
      </c>
      <c r="D777" s="44">
        <v>0.65</v>
      </c>
      <c r="H777" s="45">
        <v>1</v>
      </c>
    </row>
    <row r="778" spans="1:8" x14ac:dyDescent="0.2">
      <c r="A778" s="43">
        <v>813221</v>
      </c>
      <c r="B778" s="43">
        <v>202104</v>
      </c>
      <c r="C778" s="44">
        <v>5706.97</v>
      </c>
      <c r="D778" s="44">
        <v>0.65</v>
      </c>
      <c r="H778" s="45">
        <v>1</v>
      </c>
    </row>
    <row r="779" spans="1:8" x14ac:dyDescent="0.2">
      <c r="A779" s="43">
        <v>813221</v>
      </c>
      <c r="B779" s="43">
        <v>202105</v>
      </c>
      <c r="C779" s="44">
        <v>7757.18</v>
      </c>
      <c r="D779" s="44">
        <v>0.65</v>
      </c>
      <c r="H779" s="45">
        <v>1</v>
      </c>
    </row>
    <row r="780" spans="1:8" x14ac:dyDescent="0.2">
      <c r="A780" s="43">
        <v>813221</v>
      </c>
      <c r="B780" s="43">
        <v>202106</v>
      </c>
      <c r="C780" s="44">
        <v>11811.8</v>
      </c>
      <c r="D780" s="44">
        <v>0.65</v>
      </c>
      <c r="H780" s="45">
        <v>1</v>
      </c>
    </row>
    <row r="781" spans="1:8" x14ac:dyDescent="0.2">
      <c r="A781" s="43">
        <v>813221</v>
      </c>
      <c r="B781" s="43">
        <v>202107</v>
      </c>
      <c r="C781" s="44">
        <v>8695.16</v>
      </c>
      <c r="D781" s="44">
        <v>0.65</v>
      </c>
      <c r="H781" s="45">
        <v>1</v>
      </c>
    </row>
    <row r="782" spans="1:8" x14ac:dyDescent="0.2">
      <c r="A782" s="43">
        <v>813221</v>
      </c>
      <c r="B782" s="43">
        <v>202108</v>
      </c>
      <c r="C782" s="44">
        <v>7700</v>
      </c>
      <c r="D782" s="44">
        <v>0.65</v>
      </c>
      <c r="H782" s="45">
        <v>1</v>
      </c>
    </row>
    <row r="783" spans="1:8" x14ac:dyDescent="0.2">
      <c r="A783" s="43">
        <v>813221</v>
      </c>
      <c r="B783" s="43">
        <v>202109</v>
      </c>
      <c r="C783" s="44">
        <v>7700</v>
      </c>
      <c r="D783" s="44">
        <v>0.65</v>
      </c>
      <c r="H783" s="45">
        <v>1</v>
      </c>
    </row>
    <row r="784" spans="1:8" x14ac:dyDescent="0.2">
      <c r="A784" s="43">
        <v>813221</v>
      </c>
      <c r="B784" s="43">
        <v>202110</v>
      </c>
      <c r="C784" s="44">
        <v>7700</v>
      </c>
      <c r="D784" s="44">
        <v>0.65</v>
      </c>
      <c r="H784" s="45">
        <v>1</v>
      </c>
    </row>
    <row r="785" spans="1:8" x14ac:dyDescent="0.2">
      <c r="A785" s="43">
        <v>813221</v>
      </c>
      <c r="B785" s="43">
        <v>202111</v>
      </c>
      <c r="C785" s="44">
        <v>7700</v>
      </c>
      <c r="D785" s="44">
        <v>0.65</v>
      </c>
      <c r="H785" s="45">
        <v>1</v>
      </c>
    </row>
    <row r="786" spans="1:8" x14ac:dyDescent="0.2">
      <c r="A786" s="43">
        <v>813221</v>
      </c>
      <c r="B786" s="43">
        <v>202112</v>
      </c>
      <c r="C786" s="44">
        <v>7700</v>
      </c>
      <c r="D786" s="44">
        <v>0.65</v>
      </c>
      <c r="F786" s="67" cm="1">
        <f t="array" ref="F786">SUM(D775:D786/12)</f>
        <v>0.65000000000000024</v>
      </c>
      <c r="H786" s="45">
        <v>1</v>
      </c>
    </row>
    <row r="787" spans="1:8" x14ac:dyDescent="0.2">
      <c r="A787" s="46" t="s">
        <v>792</v>
      </c>
      <c r="B787" s="43"/>
      <c r="C787" s="47">
        <f>SUM(C775:C786)</f>
        <v>85818.41</v>
      </c>
      <c r="H787" s="45"/>
    </row>
    <row r="788" spans="1:8" x14ac:dyDescent="0.2">
      <c r="A788" s="43">
        <v>813222</v>
      </c>
      <c r="B788" s="43">
        <v>202101</v>
      </c>
      <c r="C788" s="44">
        <v>19354.54</v>
      </c>
      <c r="D788" s="44">
        <v>1.72</v>
      </c>
      <c r="H788" s="45">
        <v>2</v>
      </c>
    </row>
    <row r="789" spans="1:8" x14ac:dyDescent="0.2">
      <c r="A789" s="43">
        <v>813222</v>
      </c>
      <c r="B789" s="43">
        <v>202102</v>
      </c>
      <c r="C789" s="44">
        <v>19629.8</v>
      </c>
      <c r="D789" s="44">
        <v>1.72</v>
      </c>
      <c r="H789" s="45">
        <v>2</v>
      </c>
    </row>
    <row r="790" spans="1:8" x14ac:dyDescent="0.2">
      <c r="A790" s="43">
        <v>813222</v>
      </c>
      <c r="B790" s="43">
        <v>202103</v>
      </c>
      <c r="C790" s="44">
        <v>18099.18</v>
      </c>
      <c r="D790" s="44">
        <v>1.72</v>
      </c>
      <c r="H790" s="45">
        <v>2</v>
      </c>
    </row>
    <row r="791" spans="1:8" x14ac:dyDescent="0.2">
      <c r="A791" s="43">
        <v>813222</v>
      </c>
      <c r="B791" s="43">
        <v>202104</v>
      </c>
      <c r="C791" s="44">
        <v>20185.5</v>
      </c>
      <c r="D791" s="44">
        <v>1.72</v>
      </c>
      <c r="H791" s="45">
        <v>2</v>
      </c>
    </row>
    <row r="792" spans="1:8" x14ac:dyDescent="0.2">
      <c r="A792" s="43">
        <v>813222</v>
      </c>
      <c r="B792" s="43">
        <v>202105</v>
      </c>
      <c r="C792" s="44">
        <v>20559.189999999999</v>
      </c>
      <c r="D792" s="44">
        <v>1.72</v>
      </c>
      <c r="H792" s="45">
        <v>2</v>
      </c>
    </row>
    <row r="793" spans="1:8" x14ac:dyDescent="0.2">
      <c r="A793" s="43">
        <v>813222</v>
      </c>
      <c r="B793" s="43">
        <v>202106</v>
      </c>
      <c r="C793" s="44">
        <v>31526.59</v>
      </c>
      <c r="D793" s="44">
        <v>1.72</v>
      </c>
      <c r="H793" s="45">
        <v>2</v>
      </c>
    </row>
    <row r="794" spans="1:8" x14ac:dyDescent="0.2">
      <c r="A794" s="43">
        <v>813222</v>
      </c>
      <c r="B794" s="43">
        <v>202107</v>
      </c>
      <c r="C794" s="44">
        <v>23433.59</v>
      </c>
      <c r="D794" s="44">
        <v>1.72</v>
      </c>
      <c r="H794" s="45">
        <v>2</v>
      </c>
    </row>
    <row r="795" spans="1:8" x14ac:dyDescent="0.2">
      <c r="A795" s="43">
        <v>813222</v>
      </c>
      <c r="B795" s="43">
        <v>202108</v>
      </c>
      <c r="C795" s="44">
        <v>20500</v>
      </c>
      <c r="D795" s="44">
        <v>1.72</v>
      </c>
      <c r="H795" s="45">
        <v>2</v>
      </c>
    </row>
    <row r="796" spans="1:8" x14ac:dyDescent="0.2">
      <c r="A796" s="43">
        <v>813222</v>
      </c>
      <c r="B796" s="43">
        <v>202109</v>
      </c>
      <c r="C796" s="44">
        <v>20500</v>
      </c>
      <c r="D796" s="44">
        <v>1.72</v>
      </c>
      <c r="H796" s="45">
        <v>2</v>
      </c>
    </row>
    <row r="797" spans="1:8" x14ac:dyDescent="0.2">
      <c r="A797" s="43">
        <v>813222</v>
      </c>
      <c r="B797" s="43">
        <v>202110</v>
      </c>
      <c r="C797" s="44">
        <v>20500</v>
      </c>
      <c r="D797" s="44">
        <v>1.72</v>
      </c>
      <c r="H797" s="45">
        <v>2</v>
      </c>
    </row>
    <row r="798" spans="1:8" x14ac:dyDescent="0.2">
      <c r="A798" s="43">
        <v>813222</v>
      </c>
      <c r="B798" s="43">
        <v>202111</v>
      </c>
      <c r="C798" s="44">
        <v>20500</v>
      </c>
      <c r="D798" s="44">
        <v>1.72</v>
      </c>
      <c r="H798" s="45">
        <v>2</v>
      </c>
    </row>
    <row r="799" spans="1:8" x14ac:dyDescent="0.2">
      <c r="A799" s="43">
        <v>813222</v>
      </c>
      <c r="B799" s="43">
        <v>202112</v>
      </c>
      <c r="C799" s="44">
        <v>20500</v>
      </c>
      <c r="D799" s="44">
        <v>1.72</v>
      </c>
      <c r="F799" s="67" cm="1">
        <f t="array" ref="F799">SUM(D788:D799/12)</f>
        <v>1.72</v>
      </c>
      <c r="H799" s="45">
        <v>2</v>
      </c>
    </row>
    <row r="800" spans="1:8" x14ac:dyDescent="0.2">
      <c r="A800" s="46" t="s">
        <v>793</v>
      </c>
      <c r="B800" s="43"/>
      <c r="C800" s="47">
        <f>SUM(C788:C799)</f>
        <v>255288.38999999998</v>
      </c>
      <c r="H800" s="45"/>
    </row>
    <row r="801" spans="1:8" x14ac:dyDescent="0.2">
      <c r="A801" s="43">
        <v>813223</v>
      </c>
      <c r="B801" s="43">
        <v>202101</v>
      </c>
      <c r="C801" s="44">
        <v>15690.69</v>
      </c>
      <c r="D801" s="44">
        <v>1.5</v>
      </c>
      <c r="H801" s="45">
        <v>2</v>
      </c>
    </row>
    <row r="802" spans="1:8" x14ac:dyDescent="0.2">
      <c r="A802" s="43">
        <v>813223</v>
      </c>
      <c r="B802" s="43">
        <v>202102</v>
      </c>
      <c r="C802" s="44">
        <v>13676.05</v>
      </c>
      <c r="D802" s="44">
        <v>1.5</v>
      </c>
      <c r="H802" s="45">
        <v>2</v>
      </c>
    </row>
    <row r="803" spans="1:8" x14ac:dyDescent="0.2">
      <c r="A803" s="43">
        <v>813223</v>
      </c>
      <c r="B803" s="43">
        <v>202103</v>
      </c>
      <c r="C803" s="44">
        <v>13676.05</v>
      </c>
      <c r="D803" s="44">
        <v>1.5</v>
      </c>
      <c r="H803" s="45">
        <v>2</v>
      </c>
    </row>
    <row r="804" spans="1:8" x14ac:dyDescent="0.2">
      <c r="A804" s="43">
        <v>813223</v>
      </c>
      <c r="B804" s="43">
        <v>202104</v>
      </c>
      <c r="C804" s="44">
        <v>14688.5</v>
      </c>
      <c r="D804" s="44">
        <v>1.5</v>
      </c>
      <c r="H804" s="45">
        <v>2</v>
      </c>
    </row>
    <row r="805" spans="1:8" x14ac:dyDescent="0.2">
      <c r="A805" s="43">
        <v>813223</v>
      </c>
      <c r="B805" s="43">
        <v>202105</v>
      </c>
      <c r="C805" s="44">
        <v>15072.69</v>
      </c>
      <c r="D805" s="44">
        <v>1.5</v>
      </c>
      <c r="H805" s="45">
        <v>2</v>
      </c>
    </row>
    <row r="806" spans="1:8" x14ac:dyDescent="0.2">
      <c r="A806" s="43">
        <v>813223</v>
      </c>
      <c r="B806" s="43">
        <v>202106</v>
      </c>
      <c r="C806" s="44">
        <v>25641.67</v>
      </c>
      <c r="D806" s="44">
        <v>1.5</v>
      </c>
      <c r="H806" s="45">
        <v>2</v>
      </c>
    </row>
    <row r="807" spans="1:8" x14ac:dyDescent="0.2">
      <c r="A807" s="43">
        <v>813223</v>
      </c>
      <c r="B807" s="43">
        <v>202107</v>
      </c>
      <c r="C807" s="44">
        <v>17328.810000000001</v>
      </c>
      <c r="D807" s="44">
        <v>1.5</v>
      </c>
      <c r="H807" s="45">
        <v>2</v>
      </c>
    </row>
    <row r="808" spans="1:8" x14ac:dyDescent="0.2">
      <c r="A808" s="43">
        <v>813223</v>
      </c>
      <c r="B808" s="43">
        <v>202108</v>
      </c>
      <c r="C808" s="44">
        <v>15500</v>
      </c>
      <c r="D808" s="44">
        <v>1.5</v>
      </c>
      <c r="H808" s="45">
        <v>2</v>
      </c>
    </row>
    <row r="809" spans="1:8" x14ac:dyDescent="0.2">
      <c r="A809" s="43">
        <v>813223</v>
      </c>
      <c r="B809" s="43">
        <v>202109</v>
      </c>
      <c r="C809" s="44">
        <v>15500</v>
      </c>
      <c r="D809" s="44">
        <v>1.5</v>
      </c>
      <c r="H809" s="45">
        <v>2</v>
      </c>
    </row>
    <row r="810" spans="1:8" x14ac:dyDescent="0.2">
      <c r="A810" s="43">
        <v>813223</v>
      </c>
      <c r="B810" s="43">
        <v>202110</v>
      </c>
      <c r="C810" s="44">
        <v>15500</v>
      </c>
      <c r="D810" s="44">
        <v>1.5</v>
      </c>
      <c r="H810" s="45">
        <v>2</v>
      </c>
    </row>
    <row r="811" spans="1:8" x14ac:dyDescent="0.2">
      <c r="A811" s="43">
        <v>813223</v>
      </c>
      <c r="B811" s="43">
        <v>202111</v>
      </c>
      <c r="C811" s="44">
        <v>15500</v>
      </c>
      <c r="D811" s="44">
        <v>1.5</v>
      </c>
      <c r="H811" s="45">
        <v>2</v>
      </c>
    </row>
    <row r="812" spans="1:8" x14ac:dyDescent="0.2">
      <c r="A812" s="43">
        <v>813223</v>
      </c>
      <c r="B812" s="43">
        <v>202112</v>
      </c>
      <c r="C812" s="44">
        <v>15500</v>
      </c>
      <c r="D812" s="44">
        <v>1.5</v>
      </c>
      <c r="F812" s="67" cm="1">
        <f t="array" ref="F812">SUM(D801:D812/12)</f>
        <v>1.5</v>
      </c>
      <c r="H812" s="45">
        <v>2</v>
      </c>
    </row>
    <row r="813" spans="1:8" x14ac:dyDescent="0.2">
      <c r="A813" s="46" t="s">
        <v>794</v>
      </c>
      <c r="B813" s="43"/>
      <c r="C813" s="47">
        <f>SUM(C801:C812)</f>
        <v>193274.46</v>
      </c>
      <c r="H813" s="45"/>
    </row>
    <row r="814" spans="1:8" x14ac:dyDescent="0.2">
      <c r="A814" s="43">
        <v>813224</v>
      </c>
      <c r="B814" s="43">
        <v>202101</v>
      </c>
      <c r="C814" s="44">
        <v>22437.61</v>
      </c>
      <c r="D814" s="44">
        <v>2</v>
      </c>
      <c r="H814" s="45">
        <v>2</v>
      </c>
    </row>
    <row r="815" spans="1:8" x14ac:dyDescent="0.2">
      <c r="A815" s="43">
        <v>813224</v>
      </c>
      <c r="B815" s="43">
        <v>202102</v>
      </c>
      <c r="C815" s="44">
        <v>19719.39</v>
      </c>
      <c r="D815" s="44">
        <v>2</v>
      </c>
      <c r="H815" s="45">
        <v>2</v>
      </c>
    </row>
    <row r="816" spans="1:8" x14ac:dyDescent="0.2">
      <c r="A816" s="43">
        <v>813224</v>
      </c>
      <c r="B816" s="43">
        <v>202103</v>
      </c>
      <c r="C816" s="44">
        <v>21796.19</v>
      </c>
      <c r="D816" s="44">
        <v>2</v>
      </c>
      <c r="H816" s="45">
        <v>2</v>
      </c>
    </row>
    <row r="817" spans="1:8" x14ac:dyDescent="0.2">
      <c r="A817" s="43">
        <v>813224</v>
      </c>
      <c r="B817" s="43">
        <v>202104</v>
      </c>
      <c r="C817" s="44">
        <v>22740.12</v>
      </c>
      <c r="D817" s="44">
        <v>2</v>
      </c>
      <c r="H817" s="45">
        <v>2</v>
      </c>
    </row>
    <row r="818" spans="1:8" x14ac:dyDescent="0.2">
      <c r="A818" s="43">
        <v>813224</v>
      </c>
      <c r="B818" s="43">
        <v>202105</v>
      </c>
      <c r="C818" s="44">
        <v>23778.9</v>
      </c>
      <c r="D818" s="44">
        <v>2</v>
      </c>
      <c r="H818" s="45">
        <v>2</v>
      </c>
    </row>
    <row r="819" spans="1:8" x14ac:dyDescent="0.2">
      <c r="A819" s="43">
        <v>813224</v>
      </c>
      <c r="B819" s="43">
        <v>202106</v>
      </c>
      <c r="C819" s="44">
        <v>36582.53</v>
      </c>
      <c r="D819" s="44">
        <v>2</v>
      </c>
      <c r="H819" s="45">
        <v>2</v>
      </c>
    </row>
    <row r="820" spans="1:8" x14ac:dyDescent="0.2">
      <c r="A820" s="43">
        <v>813224</v>
      </c>
      <c r="B820" s="43">
        <v>202107</v>
      </c>
      <c r="C820" s="44">
        <v>27555.26</v>
      </c>
      <c r="D820" s="44">
        <v>2</v>
      </c>
      <c r="H820" s="45">
        <v>2</v>
      </c>
    </row>
    <row r="821" spans="1:8" x14ac:dyDescent="0.2">
      <c r="A821" s="43">
        <v>813224</v>
      </c>
      <c r="B821" s="43">
        <v>202108</v>
      </c>
      <c r="C821" s="44">
        <v>24000</v>
      </c>
      <c r="D821" s="44">
        <v>2</v>
      </c>
      <c r="H821" s="45">
        <v>2</v>
      </c>
    </row>
    <row r="822" spans="1:8" x14ac:dyDescent="0.2">
      <c r="A822" s="43">
        <v>813224</v>
      </c>
      <c r="B822" s="43">
        <v>202109</v>
      </c>
      <c r="C822" s="44">
        <v>24000</v>
      </c>
      <c r="D822" s="44">
        <v>2</v>
      </c>
      <c r="H822" s="45">
        <v>2</v>
      </c>
    </row>
    <row r="823" spans="1:8" x14ac:dyDescent="0.2">
      <c r="A823" s="43">
        <v>813224</v>
      </c>
      <c r="B823" s="43">
        <v>202110</v>
      </c>
      <c r="C823" s="44">
        <v>24000</v>
      </c>
      <c r="D823" s="44">
        <v>2</v>
      </c>
      <c r="H823" s="45">
        <v>2</v>
      </c>
    </row>
    <row r="824" spans="1:8" x14ac:dyDescent="0.2">
      <c r="A824" s="43">
        <v>813224</v>
      </c>
      <c r="B824" s="43">
        <v>202111</v>
      </c>
      <c r="C824" s="44">
        <v>24000</v>
      </c>
      <c r="D824" s="44">
        <v>2</v>
      </c>
      <c r="H824" s="45">
        <v>2</v>
      </c>
    </row>
    <row r="825" spans="1:8" x14ac:dyDescent="0.2">
      <c r="A825" s="43">
        <v>813224</v>
      </c>
      <c r="B825" s="43">
        <v>202112</v>
      </c>
      <c r="C825" s="44">
        <v>24000</v>
      </c>
      <c r="D825" s="44">
        <v>2</v>
      </c>
      <c r="F825" s="67" cm="1">
        <f t="array" ref="F825">SUM(D814:D825/12)</f>
        <v>2</v>
      </c>
      <c r="H825" s="45">
        <v>2</v>
      </c>
    </row>
    <row r="826" spans="1:8" x14ac:dyDescent="0.2">
      <c r="A826" s="46" t="s">
        <v>795</v>
      </c>
      <c r="B826" s="43"/>
      <c r="C826" s="47">
        <f>SUM(C814:C825)</f>
        <v>294610</v>
      </c>
      <c r="H826" s="45"/>
    </row>
    <row r="827" spans="1:8" x14ac:dyDescent="0.2">
      <c r="A827" s="43">
        <v>813225</v>
      </c>
      <c r="B827" s="43">
        <v>202101</v>
      </c>
      <c r="C827" s="44">
        <v>33923.9</v>
      </c>
      <c r="D827" s="44">
        <v>3</v>
      </c>
      <c r="H827" s="45">
        <v>4</v>
      </c>
    </row>
    <row r="828" spans="1:8" x14ac:dyDescent="0.2">
      <c r="A828" s="43">
        <v>813225</v>
      </c>
      <c r="B828" s="43">
        <v>202102</v>
      </c>
      <c r="C828" s="44">
        <v>34124.86</v>
      </c>
      <c r="D828" s="44">
        <v>3</v>
      </c>
      <c r="H828" s="45">
        <v>4</v>
      </c>
    </row>
    <row r="829" spans="1:8" x14ac:dyDescent="0.2">
      <c r="A829" s="43">
        <v>813225</v>
      </c>
      <c r="B829" s="43">
        <v>202103</v>
      </c>
      <c r="C829" s="44">
        <v>34967.82</v>
      </c>
      <c r="D829" s="44">
        <v>3</v>
      </c>
      <c r="H829" s="45">
        <v>4</v>
      </c>
    </row>
    <row r="830" spans="1:8" x14ac:dyDescent="0.2">
      <c r="A830" s="43">
        <v>813225</v>
      </c>
      <c r="B830" s="43">
        <v>202104</v>
      </c>
      <c r="C830" s="44">
        <v>35463.620000000003</v>
      </c>
      <c r="D830" s="44">
        <v>3</v>
      </c>
      <c r="H830" s="45">
        <v>4</v>
      </c>
    </row>
    <row r="831" spans="1:8" x14ac:dyDescent="0.2">
      <c r="A831" s="43">
        <v>813225</v>
      </c>
      <c r="B831" s="43">
        <v>202105</v>
      </c>
      <c r="C831" s="44">
        <v>35260.21</v>
      </c>
      <c r="D831" s="44">
        <v>3</v>
      </c>
      <c r="H831" s="45">
        <v>4</v>
      </c>
    </row>
    <row r="832" spans="1:8" x14ac:dyDescent="0.2">
      <c r="A832" s="43">
        <v>813225</v>
      </c>
      <c r="B832" s="43">
        <v>202106</v>
      </c>
      <c r="C832" s="44">
        <v>50503.02</v>
      </c>
      <c r="D832" s="44">
        <v>3</v>
      </c>
      <c r="H832" s="45">
        <v>4</v>
      </c>
    </row>
    <row r="833" spans="1:8" x14ac:dyDescent="0.2">
      <c r="A833" s="43">
        <v>813225</v>
      </c>
      <c r="B833" s="43">
        <v>202107</v>
      </c>
      <c r="C833" s="44">
        <v>41693.300000000003</v>
      </c>
      <c r="D833" s="44">
        <v>3</v>
      </c>
      <c r="H833" s="45">
        <v>4</v>
      </c>
    </row>
    <row r="834" spans="1:8" x14ac:dyDescent="0.2">
      <c r="A834" s="43">
        <v>813225</v>
      </c>
      <c r="B834" s="43">
        <v>202108</v>
      </c>
      <c r="C834" s="44">
        <v>35000</v>
      </c>
      <c r="D834" s="44">
        <v>3</v>
      </c>
      <c r="H834" s="45">
        <v>4</v>
      </c>
    </row>
    <row r="835" spans="1:8" x14ac:dyDescent="0.2">
      <c r="A835" s="43">
        <v>813225</v>
      </c>
      <c r="B835" s="43">
        <v>202109</v>
      </c>
      <c r="C835" s="44">
        <v>35000</v>
      </c>
      <c r="D835" s="44">
        <v>3</v>
      </c>
      <c r="H835" s="45">
        <v>4</v>
      </c>
    </row>
    <row r="836" spans="1:8" x14ac:dyDescent="0.2">
      <c r="A836" s="43">
        <v>813225</v>
      </c>
      <c r="B836" s="43">
        <v>202110</v>
      </c>
      <c r="C836" s="44">
        <v>35000</v>
      </c>
      <c r="D836" s="44">
        <v>3</v>
      </c>
      <c r="H836" s="45">
        <v>4</v>
      </c>
    </row>
    <row r="837" spans="1:8" x14ac:dyDescent="0.2">
      <c r="A837" s="43">
        <v>813225</v>
      </c>
      <c r="B837" s="43">
        <v>202111</v>
      </c>
      <c r="C837" s="44">
        <v>35000</v>
      </c>
      <c r="D837" s="44">
        <v>3</v>
      </c>
      <c r="H837" s="45">
        <v>4</v>
      </c>
    </row>
    <row r="838" spans="1:8" x14ac:dyDescent="0.2">
      <c r="A838" s="43">
        <v>813225</v>
      </c>
      <c r="B838" s="43">
        <v>202112</v>
      </c>
      <c r="C838" s="44">
        <v>35000</v>
      </c>
      <c r="D838" s="44">
        <v>3</v>
      </c>
      <c r="F838" s="67" cm="1">
        <f t="array" ref="F838">SUM(D827:D838/12)</f>
        <v>3</v>
      </c>
      <c r="H838" s="45">
        <v>4</v>
      </c>
    </row>
    <row r="839" spans="1:8" x14ac:dyDescent="0.2">
      <c r="A839" s="46" t="s">
        <v>796</v>
      </c>
      <c r="B839" s="43"/>
      <c r="C839" s="47">
        <f>SUM(C827:C838)</f>
        <v>440936.73</v>
      </c>
      <c r="H839" s="45"/>
    </row>
    <row r="840" spans="1:8" x14ac:dyDescent="0.2">
      <c r="A840" s="43">
        <v>813226</v>
      </c>
      <c r="B840" s="43">
        <v>202101</v>
      </c>
      <c r="C840" s="44">
        <v>38362.81</v>
      </c>
      <c r="D840" s="44">
        <v>2.5499999999999998</v>
      </c>
      <c r="H840" s="45">
        <v>3</v>
      </c>
    </row>
    <row r="841" spans="1:8" x14ac:dyDescent="0.2">
      <c r="A841" s="43">
        <v>813226</v>
      </c>
      <c r="B841" s="43">
        <v>202102</v>
      </c>
      <c r="C841" s="44">
        <v>34622.080000000002</v>
      </c>
      <c r="D841" s="44">
        <v>2.5499999999999998</v>
      </c>
      <c r="H841" s="45">
        <v>3</v>
      </c>
    </row>
    <row r="842" spans="1:8" x14ac:dyDescent="0.2">
      <c r="A842" s="43">
        <v>813226</v>
      </c>
      <c r="B842" s="43">
        <v>202103</v>
      </c>
      <c r="C842" s="44">
        <v>34949.89</v>
      </c>
      <c r="D842" s="44">
        <v>2.5499999999999998</v>
      </c>
      <c r="H842" s="45">
        <v>3</v>
      </c>
    </row>
    <row r="843" spans="1:8" x14ac:dyDescent="0.2">
      <c r="A843" s="43">
        <v>813226</v>
      </c>
      <c r="B843" s="43">
        <v>202104</v>
      </c>
      <c r="C843" s="44">
        <v>34931.550000000003</v>
      </c>
      <c r="D843" s="44">
        <v>2.5499999999999998</v>
      </c>
      <c r="H843" s="45">
        <v>3</v>
      </c>
    </row>
    <row r="844" spans="1:8" x14ac:dyDescent="0.2">
      <c r="A844" s="43">
        <v>813226</v>
      </c>
      <c r="B844" s="43">
        <v>202105</v>
      </c>
      <c r="C844" s="44">
        <v>36660.93</v>
      </c>
      <c r="D844" s="44">
        <v>2.5499999999999998</v>
      </c>
      <c r="H844" s="45">
        <v>3</v>
      </c>
    </row>
    <row r="845" spans="1:8" x14ac:dyDescent="0.2">
      <c r="A845" s="43">
        <v>813226</v>
      </c>
      <c r="B845" s="43">
        <v>202106</v>
      </c>
      <c r="C845" s="44">
        <v>52302.39</v>
      </c>
      <c r="D845" s="44">
        <v>2.5499999999999998</v>
      </c>
      <c r="H845" s="45">
        <v>3</v>
      </c>
    </row>
    <row r="846" spans="1:8" x14ac:dyDescent="0.2">
      <c r="A846" s="43">
        <v>813226</v>
      </c>
      <c r="B846" s="43">
        <v>202107</v>
      </c>
      <c r="C846" s="44">
        <v>43376.45</v>
      </c>
      <c r="D846" s="44">
        <v>2.5499999999999998</v>
      </c>
      <c r="H846" s="45">
        <v>3</v>
      </c>
    </row>
    <row r="847" spans="1:8" x14ac:dyDescent="0.2">
      <c r="A847" s="43">
        <v>813226</v>
      </c>
      <c r="B847" s="43">
        <v>202108</v>
      </c>
      <c r="C847" s="44">
        <v>36700</v>
      </c>
      <c r="D847" s="44">
        <v>2.5499999999999998</v>
      </c>
      <c r="H847" s="45">
        <v>3</v>
      </c>
    </row>
    <row r="848" spans="1:8" x14ac:dyDescent="0.2">
      <c r="A848" s="43">
        <v>813226</v>
      </c>
      <c r="B848" s="43">
        <v>202109</v>
      </c>
      <c r="C848" s="44">
        <f>36700+5500</f>
        <v>42200</v>
      </c>
      <c r="D848" s="44">
        <v>2.5499999999999998</v>
      </c>
      <c r="H848" s="45">
        <v>3</v>
      </c>
    </row>
    <row r="849" spans="1:8" x14ac:dyDescent="0.2">
      <c r="A849" s="43">
        <v>813226</v>
      </c>
      <c r="B849" s="43">
        <v>202110</v>
      </c>
      <c r="C849" s="44">
        <v>36700</v>
      </c>
      <c r="D849" s="44">
        <v>2.5499999999999998</v>
      </c>
      <c r="H849" s="45">
        <v>3</v>
      </c>
    </row>
    <row r="850" spans="1:8" x14ac:dyDescent="0.2">
      <c r="A850" s="43">
        <v>813226</v>
      </c>
      <c r="B850" s="43">
        <v>202111</v>
      </c>
      <c r="C850" s="44">
        <v>36700</v>
      </c>
      <c r="D850" s="44">
        <v>2.5499999999999998</v>
      </c>
      <c r="H850" s="45">
        <v>3</v>
      </c>
    </row>
    <row r="851" spans="1:8" x14ac:dyDescent="0.2">
      <c r="A851" s="43">
        <v>813226</v>
      </c>
      <c r="B851" s="43">
        <v>202112</v>
      </c>
      <c r="C851" s="44">
        <v>36700</v>
      </c>
      <c r="D851" s="44">
        <v>2.5499999999999998</v>
      </c>
      <c r="F851" s="67" cm="1">
        <f t="array" ref="F851">SUM(D840:D851/12)</f>
        <v>2.5499999999999994</v>
      </c>
      <c r="H851" s="45">
        <v>3</v>
      </c>
    </row>
    <row r="852" spans="1:8" x14ac:dyDescent="0.2">
      <c r="A852" s="46" t="s">
        <v>797</v>
      </c>
      <c r="B852" s="43"/>
      <c r="C852" s="47">
        <f>SUM(C840:C851)</f>
        <v>464206.10000000003</v>
      </c>
      <c r="H852" s="45"/>
    </row>
    <row r="853" spans="1:8" x14ac:dyDescent="0.2">
      <c r="A853" s="43">
        <v>813300</v>
      </c>
      <c r="B853" s="43">
        <v>202101</v>
      </c>
      <c r="C853" s="44">
        <v>245280.89</v>
      </c>
      <c r="D853" s="44">
        <v>27.315999999999999</v>
      </c>
      <c r="H853" s="45">
        <v>50</v>
      </c>
    </row>
    <row r="854" spans="1:8" x14ac:dyDescent="0.2">
      <c r="A854" s="43">
        <v>813300</v>
      </c>
      <c r="B854" s="43">
        <v>202102</v>
      </c>
      <c r="C854" s="44">
        <v>242217.75</v>
      </c>
      <c r="D854" s="44">
        <v>26.594999999999999</v>
      </c>
      <c r="H854" s="45">
        <v>49</v>
      </c>
    </row>
    <row r="855" spans="1:8" x14ac:dyDescent="0.2">
      <c r="A855" s="43">
        <v>813300</v>
      </c>
      <c r="B855" s="43">
        <v>202103</v>
      </c>
      <c r="C855" s="44">
        <v>279301.32</v>
      </c>
      <c r="D855" s="44">
        <v>26.436</v>
      </c>
      <c r="H855" s="45">
        <v>49</v>
      </c>
    </row>
    <row r="856" spans="1:8" x14ac:dyDescent="0.2">
      <c r="A856" s="43">
        <v>813300</v>
      </c>
      <c r="B856" s="43">
        <v>202104</v>
      </c>
      <c r="C856" s="44">
        <v>242644.36</v>
      </c>
      <c r="D856" s="44">
        <v>26.305</v>
      </c>
      <c r="H856" s="45">
        <v>50</v>
      </c>
    </row>
    <row r="857" spans="1:8" x14ac:dyDescent="0.2">
      <c r="A857" s="43">
        <v>813300</v>
      </c>
      <c r="B857" s="43">
        <v>202105</v>
      </c>
      <c r="C857" s="44">
        <v>270801.12</v>
      </c>
      <c r="D857" s="44">
        <v>25.998000000000001</v>
      </c>
      <c r="H857" s="45">
        <v>49</v>
      </c>
    </row>
    <row r="858" spans="1:8" x14ac:dyDescent="0.2">
      <c r="A858" s="43">
        <v>813300</v>
      </c>
      <c r="B858" s="43">
        <v>202106</v>
      </c>
      <c r="C858" s="44">
        <v>377204.64</v>
      </c>
      <c r="D858" s="44">
        <v>25.204999999999998</v>
      </c>
      <c r="H858" s="45">
        <v>49</v>
      </c>
    </row>
    <row r="859" spans="1:8" x14ac:dyDescent="0.2">
      <c r="A859" s="43">
        <v>813300</v>
      </c>
      <c r="B859" s="43">
        <v>202107</v>
      </c>
      <c r="C859" s="44">
        <v>300931.46999999997</v>
      </c>
      <c r="D859" s="44">
        <v>22.898</v>
      </c>
      <c r="H859" s="45">
        <v>50</v>
      </c>
    </row>
    <row r="860" spans="1:8" x14ac:dyDescent="0.2">
      <c r="A860" s="43">
        <v>813300</v>
      </c>
      <c r="B860" s="43">
        <v>202108</v>
      </c>
      <c r="C860" s="44">
        <v>270000</v>
      </c>
      <c r="D860" s="44">
        <v>22.898</v>
      </c>
      <c r="H860" s="45">
        <v>50</v>
      </c>
    </row>
    <row r="861" spans="1:8" x14ac:dyDescent="0.2">
      <c r="A861" s="43">
        <v>813300</v>
      </c>
      <c r="B861" s="43">
        <v>202109</v>
      </c>
      <c r="C861" s="44">
        <f>270000+1600</f>
        <v>271600</v>
      </c>
      <c r="D861" s="44">
        <v>22.898</v>
      </c>
      <c r="H861" s="45">
        <v>50</v>
      </c>
    </row>
    <row r="862" spans="1:8" x14ac:dyDescent="0.2">
      <c r="A862" s="43">
        <v>813300</v>
      </c>
      <c r="B862" s="43">
        <v>202110</v>
      </c>
      <c r="C862" s="44">
        <v>270000</v>
      </c>
      <c r="D862" s="44">
        <v>22.898</v>
      </c>
      <c r="H862" s="45">
        <v>50</v>
      </c>
    </row>
    <row r="863" spans="1:8" x14ac:dyDescent="0.2">
      <c r="A863" s="43">
        <v>813300</v>
      </c>
      <c r="B863" s="43">
        <v>202111</v>
      </c>
      <c r="C863" s="44">
        <v>270000</v>
      </c>
      <c r="D863" s="44">
        <v>22.898</v>
      </c>
      <c r="H863" s="45">
        <v>50</v>
      </c>
    </row>
    <row r="864" spans="1:8" x14ac:dyDescent="0.2">
      <c r="A864" s="43">
        <v>813300</v>
      </c>
      <c r="B864" s="43">
        <v>202112</v>
      </c>
      <c r="C864" s="44">
        <v>270000</v>
      </c>
      <c r="D864" s="44">
        <v>22.898</v>
      </c>
      <c r="F864" s="67" cm="1">
        <f t="array" ref="F864">SUM(D853:D864/12)</f>
        <v>24.603583333333333</v>
      </c>
      <c r="H864" s="45">
        <v>50</v>
      </c>
    </row>
    <row r="865" spans="1:8" x14ac:dyDescent="0.2">
      <c r="A865" s="46" t="s">
        <v>798</v>
      </c>
      <c r="B865" s="43"/>
      <c r="C865" s="47">
        <f>SUM(C853:C864)</f>
        <v>3309981.55</v>
      </c>
      <c r="H865" s="45"/>
    </row>
    <row r="866" spans="1:8" x14ac:dyDescent="0.2">
      <c r="A866" s="43">
        <v>813400</v>
      </c>
      <c r="B866" s="43">
        <v>202101</v>
      </c>
      <c r="C866" s="44">
        <v>506407.77</v>
      </c>
      <c r="D866" s="44">
        <v>54.78</v>
      </c>
      <c r="H866" s="45">
        <v>60</v>
      </c>
    </row>
    <row r="867" spans="1:8" x14ac:dyDescent="0.2">
      <c r="A867" s="43">
        <v>813400</v>
      </c>
      <c r="B867" s="43">
        <v>202102</v>
      </c>
      <c r="C867" s="44">
        <v>514599.62</v>
      </c>
      <c r="D867" s="44">
        <v>54.78</v>
      </c>
      <c r="H867" s="45">
        <v>60</v>
      </c>
    </row>
    <row r="868" spans="1:8" x14ac:dyDescent="0.2">
      <c r="A868" s="43">
        <v>813400</v>
      </c>
      <c r="B868" s="43">
        <v>202103</v>
      </c>
      <c r="C868" s="44">
        <v>532173.5</v>
      </c>
      <c r="D868" s="44">
        <v>54.78</v>
      </c>
      <c r="H868" s="45">
        <v>60</v>
      </c>
    </row>
    <row r="869" spans="1:8" x14ac:dyDescent="0.2">
      <c r="A869" s="43">
        <v>813400</v>
      </c>
      <c r="B869" s="43">
        <v>202104</v>
      </c>
      <c r="C869" s="44">
        <v>528846.9</v>
      </c>
      <c r="D869" s="44">
        <v>54.78</v>
      </c>
      <c r="H869" s="45">
        <v>60</v>
      </c>
    </row>
    <row r="870" spans="1:8" x14ac:dyDescent="0.2">
      <c r="A870" s="43">
        <v>813400</v>
      </c>
      <c r="B870" s="43">
        <v>202105</v>
      </c>
      <c r="C870" s="44">
        <v>558765.86</v>
      </c>
      <c r="D870" s="44">
        <v>54.78</v>
      </c>
      <c r="H870" s="45">
        <v>60</v>
      </c>
    </row>
    <row r="871" spans="1:8" x14ac:dyDescent="0.2">
      <c r="A871" s="43">
        <v>813400</v>
      </c>
      <c r="B871" s="43">
        <v>202106</v>
      </c>
      <c r="C871" s="44">
        <v>886264.69</v>
      </c>
      <c r="D871" s="44">
        <v>54.78</v>
      </c>
      <c r="H871" s="45">
        <v>60</v>
      </c>
    </row>
    <row r="872" spans="1:8" x14ac:dyDescent="0.2">
      <c r="A872" s="43">
        <v>813400</v>
      </c>
      <c r="B872" s="43">
        <v>202107</v>
      </c>
      <c r="C872" s="44">
        <v>674290.86</v>
      </c>
      <c r="D872" s="44">
        <v>55.68</v>
      </c>
      <c r="H872" s="45">
        <v>61</v>
      </c>
    </row>
    <row r="873" spans="1:8" x14ac:dyDescent="0.2">
      <c r="A873" s="43">
        <v>813400</v>
      </c>
      <c r="B873" s="43">
        <v>202108</v>
      </c>
      <c r="C873" s="44">
        <v>559000</v>
      </c>
      <c r="D873" s="44">
        <v>55.68</v>
      </c>
      <c r="H873" s="45">
        <v>61</v>
      </c>
    </row>
    <row r="874" spans="1:8" x14ac:dyDescent="0.2">
      <c r="A874" s="43">
        <v>813400</v>
      </c>
      <c r="B874" s="43">
        <v>202109</v>
      </c>
      <c r="C874" s="44">
        <f>559000+45000</f>
        <v>604000</v>
      </c>
      <c r="D874" s="44">
        <v>55.68</v>
      </c>
      <c r="H874" s="45">
        <v>61</v>
      </c>
    </row>
    <row r="875" spans="1:8" x14ac:dyDescent="0.2">
      <c r="A875" s="43">
        <v>813400</v>
      </c>
      <c r="B875" s="43">
        <v>202110</v>
      </c>
      <c r="C875" s="44">
        <v>540000</v>
      </c>
      <c r="D875" s="44">
        <v>55.68</v>
      </c>
      <c r="H875" s="45">
        <v>61</v>
      </c>
    </row>
    <row r="876" spans="1:8" x14ac:dyDescent="0.2">
      <c r="A876" s="43">
        <v>813400</v>
      </c>
      <c r="B876" s="43">
        <v>202111</v>
      </c>
      <c r="C876" s="44">
        <v>540000</v>
      </c>
      <c r="D876" s="44">
        <v>55.68</v>
      </c>
      <c r="H876" s="45">
        <v>61</v>
      </c>
    </row>
    <row r="877" spans="1:8" x14ac:dyDescent="0.2">
      <c r="A877" s="43">
        <v>813400</v>
      </c>
      <c r="B877" s="43">
        <v>202112</v>
      </c>
      <c r="C877" s="44">
        <v>540000</v>
      </c>
      <c r="D877" s="44">
        <v>55.68</v>
      </c>
      <c r="F877" s="67" cm="1">
        <f t="array" ref="F877">SUM(D866:D877/12)</f>
        <v>55.230000000000004</v>
      </c>
      <c r="H877" s="45">
        <v>61</v>
      </c>
    </row>
    <row r="878" spans="1:8" x14ac:dyDescent="0.2">
      <c r="A878" s="46" t="s">
        <v>799</v>
      </c>
      <c r="B878" s="43"/>
      <c r="C878" s="47">
        <f>SUM(C866:C877)</f>
        <v>6984349.2000000002</v>
      </c>
      <c r="H878" s="45"/>
    </row>
    <row r="879" spans="1:8" x14ac:dyDescent="0.2">
      <c r="A879" s="43">
        <v>813500</v>
      </c>
      <c r="B879" s="43">
        <v>202101</v>
      </c>
      <c r="C879" s="44">
        <v>348405.09</v>
      </c>
      <c r="D879" s="44">
        <v>33.5</v>
      </c>
      <c r="H879" s="45">
        <v>36</v>
      </c>
    </row>
    <row r="880" spans="1:8" x14ac:dyDescent="0.2">
      <c r="A880" s="43">
        <v>813500</v>
      </c>
      <c r="B880" s="43">
        <v>202102</v>
      </c>
      <c r="C880" s="44">
        <v>391012.26</v>
      </c>
      <c r="D880" s="44">
        <v>33.5</v>
      </c>
      <c r="H880" s="45">
        <v>36</v>
      </c>
    </row>
    <row r="881" spans="1:8" x14ac:dyDescent="0.2">
      <c r="A881" s="43">
        <v>813500</v>
      </c>
      <c r="B881" s="43">
        <v>202103</v>
      </c>
      <c r="C881" s="44">
        <v>324118.17</v>
      </c>
      <c r="D881" s="44">
        <v>32.5</v>
      </c>
      <c r="H881" s="45">
        <v>35</v>
      </c>
    </row>
    <row r="882" spans="1:8" x14ac:dyDescent="0.2">
      <c r="A882" s="43">
        <v>813500</v>
      </c>
      <c r="B882" s="43">
        <v>202104</v>
      </c>
      <c r="C882" s="44">
        <v>368141.49</v>
      </c>
      <c r="D882" s="44">
        <v>31.5</v>
      </c>
      <c r="H882" s="45">
        <v>35</v>
      </c>
    </row>
    <row r="883" spans="1:8" x14ac:dyDescent="0.2">
      <c r="A883" s="43">
        <v>813500</v>
      </c>
      <c r="B883" s="43">
        <v>202105</v>
      </c>
      <c r="C883" s="44">
        <v>354211.89</v>
      </c>
      <c r="D883" s="44">
        <v>32</v>
      </c>
      <c r="H883" s="45">
        <v>34</v>
      </c>
    </row>
    <row r="884" spans="1:8" x14ac:dyDescent="0.2">
      <c r="A884" s="43">
        <v>813500</v>
      </c>
      <c r="B884" s="43">
        <v>202106</v>
      </c>
      <c r="C884" s="44">
        <v>531759.98</v>
      </c>
      <c r="D884" s="44">
        <v>32</v>
      </c>
      <c r="H884" s="45">
        <v>34</v>
      </c>
    </row>
    <row r="885" spans="1:8" x14ac:dyDescent="0.2">
      <c r="A885" s="43">
        <v>813500</v>
      </c>
      <c r="B885" s="43">
        <v>202107</v>
      </c>
      <c r="C885" s="44">
        <v>405043.07</v>
      </c>
      <c r="D885" s="44">
        <v>31.1</v>
      </c>
      <c r="H885" s="45">
        <v>34</v>
      </c>
    </row>
    <row r="886" spans="1:8" x14ac:dyDescent="0.2">
      <c r="A886" s="43">
        <v>813500</v>
      </c>
      <c r="B886" s="43">
        <v>202108</v>
      </c>
      <c r="C886" s="44">
        <v>354211</v>
      </c>
      <c r="D886" s="44">
        <v>31.1</v>
      </c>
      <c r="H886" s="45">
        <v>34</v>
      </c>
    </row>
    <row r="887" spans="1:8" x14ac:dyDescent="0.2">
      <c r="A887" s="43">
        <v>813500</v>
      </c>
      <c r="B887" s="43">
        <v>202109</v>
      </c>
      <c r="C887" s="44">
        <f>354211+14492</f>
        <v>368703</v>
      </c>
      <c r="D887" s="44">
        <v>31.1</v>
      </c>
      <c r="H887" s="45">
        <v>34</v>
      </c>
    </row>
    <row r="888" spans="1:8" x14ac:dyDescent="0.2">
      <c r="A888" s="43">
        <v>813500</v>
      </c>
      <c r="B888" s="43">
        <v>202110</v>
      </c>
      <c r="C888" s="44">
        <v>354211</v>
      </c>
      <c r="D888" s="44">
        <v>31.1</v>
      </c>
      <c r="H888" s="45">
        <v>34</v>
      </c>
    </row>
    <row r="889" spans="1:8" x14ac:dyDescent="0.2">
      <c r="A889" s="43">
        <v>813500</v>
      </c>
      <c r="B889" s="43">
        <v>202111</v>
      </c>
      <c r="C889" s="44">
        <v>354211</v>
      </c>
      <c r="D889" s="44">
        <v>31.1</v>
      </c>
      <c r="H889" s="45">
        <v>34</v>
      </c>
    </row>
    <row r="890" spans="1:8" x14ac:dyDescent="0.2">
      <c r="A890" s="43">
        <v>813500</v>
      </c>
      <c r="B890" s="43">
        <v>202112</v>
      </c>
      <c r="C890" s="44">
        <v>354211</v>
      </c>
      <c r="D890" s="44">
        <v>31.1</v>
      </c>
      <c r="F890" s="67" cm="1">
        <f t="array" ref="F890">SUM(D879:D890/12)</f>
        <v>31.800000000000011</v>
      </c>
      <c r="H890" s="45">
        <v>34</v>
      </c>
    </row>
    <row r="891" spans="1:8" x14ac:dyDescent="0.2">
      <c r="A891" s="46" t="s">
        <v>800</v>
      </c>
      <c r="B891" s="43"/>
      <c r="C891" s="47">
        <f>SUM(C879:C890)</f>
        <v>4508238.9499999993</v>
      </c>
      <c r="H891" s="45"/>
    </row>
    <row r="892" spans="1:8" x14ac:dyDescent="0.2">
      <c r="A892" s="43">
        <v>813600</v>
      </c>
      <c r="B892" s="43">
        <v>202101</v>
      </c>
      <c r="C892" s="44">
        <v>98256.71</v>
      </c>
      <c r="D892" s="44">
        <v>11.895</v>
      </c>
      <c r="H892" s="45">
        <v>17</v>
      </c>
    </row>
    <row r="893" spans="1:8" x14ac:dyDescent="0.2">
      <c r="A893" s="43">
        <v>813600</v>
      </c>
      <c r="B893" s="43">
        <v>202102</v>
      </c>
      <c r="C893" s="44">
        <v>100849.32</v>
      </c>
      <c r="D893" s="44">
        <v>12.025</v>
      </c>
      <c r="H893" s="45">
        <v>17</v>
      </c>
    </row>
    <row r="894" spans="1:8" x14ac:dyDescent="0.2">
      <c r="A894" s="43">
        <v>813600</v>
      </c>
      <c r="B894" s="43">
        <v>202103</v>
      </c>
      <c r="C894" s="44">
        <v>114470.83</v>
      </c>
      <c r="D894" s="44">
        <v>12.385999999999999</v>
      </c>
      <c r="H894" s="45">
        <v>17</v>
      </c>
    </row>
    <row r="895" spans="1:8" x14ac:dyDescent="0.2">
      <c r="A895" s="43">
        <v>813600</v>
      </c>
      <c r="B895" s="43">
        <v>202104</v>
      </c>
      <c r="C895" s="44">
        <v>114526.38</v>
      </c>
      <c r="D895" s="44">
        <v>12.725</v>
      </c>
      <c r="H895" s="45">
        <v>17</v>
      </c>
    </row>
    <row r="896" spans="1:8" x14ac:dyDescent="0.2">
      <c r="A896" s="43">
        <v>813600</v>
      </c>
      <c r="B896" s="43">
        <v>202105</v>
      </c>
      <c r="C896" s="44">
        <v>122822.69</v>
      </c>
      <c r="D896" s="44">
        <v>12.725</v>
      </c>
      <c r="H896" s="45">
        <v>17</v>
      </c>
    </row>
    <row r="897" spans="1:8" x14ac:dyDescent="0.2">
      <c r="A897" s="43">
        <v>813600</v>
      </c>
      <c r="B897" s="43">
        <v>202106</v>
      </c>
      <c r="C897" s="44">
        <v>182887.08</v>
      </c>
      <c r="D897" s="44">
        <v>12.725</v>
      </c>
      <c r="H897" s="45">
        <v>17</v>
      </c>
    </row>
    <row r="898" spans="1:8" x14ac:dyDescent="0.2">
      <c r="A898" s="43">
        <v>813600</v>
      </c>
      <c r="B898" s="43">
        <v>202107</v>
      </c>
      <c r="C898" s="44">
        <v>135777.87</v>
      </c>
      <c r="D898" s="44">
        <v>12.725</v>
      </c>
      <c r="H898" s="45">
        <v>17</v>
      </c>
    </row>
    <row r="899" spans="1:8" x14ac:dyDescent="0.2">
      <c r="A899" s="43">
        <v>813600</v>
      </c>
      <c r="B899" s="43">
        <v>202108</v>
      </c>
      <c r="C899" s="44">
        <v>123000</v>
      </c>
      <c r="D899" s="44">
        <v>12.725</v>
      </c>
      <c r="H899" s="45">
        <v>17</v>
      </c>
    </row>
    <row r="900" spans="1:8" x14ac:dyDescent="0.2">
      <c r="A900" s="43">
        <v>813600</v>
      </c>
      <c r="B900" s="43">
        <v>202109</v>
      </c>
      <c r="C900" s="44">
        <v>123000</v>
      </c>
      <c r="D900" s="44">
        <v>12.725</v>
      </c>
      <c r="H900" s="45">
        <v>17</v>
      </c>
    </row>
    <row r="901" spans="1:8" x14ac:dyDescent="0.2">
      <c r="A901" s="43">
        <v>813600</v>
      </c>
      <c r="B901" s="43">
        <v>202110</v>
      </c>
      <c r="C901" s="44">
        <v>123000</v>
      </c>
      <c r="D901" s="44">
        <v>12.725</v>
      </c>
      <c r="H901" s="45">
        <v>17</v>
      </c>
    </row>
    <row r="902" spans="1:8" x14ac:dyDescent="0.2">
      <c r="A902" s="43">
        <v>813600</v>
      </c>
      <c r="B902" s="43">
        <v>202111</v>
      </c>
      <c r="C902" s="44">
        <v>123000</v>
      </c>
      <c r="D902" s="44">
        <v>12.725</v>
      </c>
      <c r="H902" s="45">
        <v>17</v>
      </c>
    </row>
    <row r="903" spans="1:8" x14ac:dyDescent="0.2">
      <c r="A903" s="43">
        <v>813600</v>
      </c>
      <c r="B903" s="43">
        <v>202112</v>
      </c>
      <c r="C903" s="44">
        <v>123000</v>
      </c>
      <c r="D903" s="44">
        <v>12.725</v>
      </c>
      <c r="F903" s="67" cm="1">
        <f t="array" ref="F903">SUM(D892:D903/12)</f>
        <v>12.56925</v>
      </c>
      <c r="H903" s="45">
        <v>17</v>
      </c>
    </row>
    <row r="904" spans="1:8" x14ac:dyDescent="0.2">
      <c r="A904" s="46" t="s">
        <v>801</v>
      </c>
      <c r="B904" s="43"/>
      <c r="C904" s="47">
        <f>SUM(C892:C903)</f>
        <v>1484590.88</v>
      </c>
      <c r="H904" s="45"/>
    </row>
    <row r="905" spans="1:8" x14ac:dyDescent="0.2">
      <c r="A905" s="43">
        <v>813700</v>
      </c>
      <c r="B905" s="43">
        <v>202101</v>
      </c>
      <c r="C905" s="44">
        <v>15969.41</v>
      </c>
      <c r="H905" s="45">
        <v>7</v>
      </c>
    </row>
    <row r="906" spans="1:8" x14ac:dyDescent="0.2">
      <c r="A906" s="43">
        <v>813700</v>
      </c>
      <c r="B906" s="43">
        <v>202102</v>
      </c>
      <c r="C906" s="44">
        <v>5427.86</v>
      </c>
      <c r="H906" s="45">
        <v>3</v>
      </c>
    </row>
    <row r="907" spans="1:8" x14ac:dyDescent="0.2">
      <c r="A907" s="43">
        <v>813700</v>
      </c>
      <c r="B907" s="43">
        <v>202103</v>
      </c>
      <c r="C907" s="44">
        <v>4576.6499999999996</v>
      </c>
      <c r="H907" s="45">
        <v>3</v>
      </c>
    </row>
    <row r="908" spans="1:8" x14ac:dyDescent="0.2">
      <c r="A908" s="43">
        <v>813700</v>
      </c>
      <c r="B908" s="43">
        <v>202104</v>
      </c>
      <c r="C908" s="44">
        <v>5603.04</v>
      </c>
      <c r="H908" s="45">
        <v>4</v>
      </c>
    </row>
    <row r="909" spans="1:8" x14ac:dyDescent="0.2">
      <c r="A909" s="43">
        <v>813700</v>
      </c>
      <c r="B909" s="43">
        <v>202105</v>
      </c>
      <c r="C909" s="44">
        <v>8836.5400000000009</v>
      </c>
      <c r="H909" s="45">
        <v>4</v>
      </c>
    </row>
    <row r="910" spans="1:8" x14ac:dyDescent="0.2">
      <c r="A910" s="43">
        <v>813700</v>
      </c>
      <c r="B910" s="43">
        <v>202106</v>
      </c>
      <c r="C910" s="44">
        <v>13820.74</v>
      </c>
      <c r="H910" s="45">
        <v>5</v>
      </c>
    </row>
    <row r="911" spans="1:8" x14ac:dyDescent="0.2">
      <c r="A911" s="43">
        <v>813700</v>
      </c>
      <c r="B911" s="43">
        <v>202107</v>
      </c>
      <c r="C911" s="44">
        <v>13602.93</v>
      </c>
      <c r="H911" s="45">
        <v>4</v>
      </c>
    </row>
    <row r="912" spans="1:8" x14ac:dyDescent="0.2">
      <c r="A912" s="43">
        <v>813700</v>
      </c>
      <c r="B912" s="43">
        <v>202108</v>
      </c>
      <c r="C912" s="44">
        <v>10500</v>
      </c>
      <c r="H912" s="45">
        <v>4</v>
      </c>
    </row>
    <row r="913" spans="1:8" x14ac:dyDescent="0.2">
      <c r="A913" s="43">
        <v>813700</v>
      </c>
      <c r="B913" s="43">
        <v>202109</v>
      </c>
      <c r="C913" s="44">
        <v>10500</v>
      </c>
      <c r="H913" s="45">
        <v>4</v>
      </c>
    </row>
    <row r="914" spans="1:8" x14ac:dyDescent="0.2">
      <c r="A914" s="43">
        <v>813700</v>
      </c>
      <c r="B914" s="43">
        <v>202110</v>
      </c>
      <c r="C914" s="44">
        <v>10500</v>
      </c>
      <c r="H914" s="45">
        <v>4</v>
      </c>
    </row>
    <row r="915" spans="1:8" x14ac:dyDescent="0.2">
      <c r="A915" s="43">
        <v>813700</v>
      </c>
      <c r="B915" s="43">
        <v>202111</v>
      </c>
      <c r="C915" s="44">
        <v>10500</v>
      </c>
      <c r="H915" s="45">
        <v>4</v>
      </c>
    </row>
    <row r="916" spans="1:8" x14ac:dyDescent="0.2">
      <c r="A916" s="43">
        <v>813700</v>
      </c>
      <c r="B916" s="43">
        <v>202112</v>
      </c>
      <c r="C916" s="44">
        <v>10500</v>
      </c>
      <c r="F916" s="67" cm="1">
        <f t="array" ref="F916">SUM(D905:D916/12)</f>
        <v>0</v>
      </c>
      <c r="H916" s="45">
        <v>4</v>
      </c>
    </row>
    <row r="917" spans="1:8" x14ac:dyDescent="0.2">
      <c r="A917" s="46" t="s">
        <v>802</v>
      </c>
      <c r="B917" s="43"/>
      <c r="C917" s="47">
        <f>SUM(C905:C916)</f>
        <v>120337.17</v>
      </c>
      <c r="H917" s="45"/>
    </row>
    <row r="918" spans="1:8" x14ac:dyDescent="0.2">
      <c r="A918" s="43">
        <v>817100</v>
      </c>
      <c r="B918" s="43">
        <v>202101</v>
      </c>
      <c r="C918" s="44">
        <v>36490.54</v>
      </c>
      <c r="D918" s="44">
        <v>1.8</v>
      </c>
      <c r="H918" s="45">
        <v>2</v>
      </c>
    </row>
    <row r="919" spans="1:8" x14ac:dyDescent="0.2">
      <c r="A919" s="43">
        <v>817100</v>
      </c>
      <c r="B919" s="43">
        <v>202102</v>
      </c>
      <c r="C919" s="44">
        <v>28128.53</v>
      </c>
      <c r="D919" s="44">
        <v>1.8</v>
      </c>
      <c r="H919" s="45">
        <v>2</v>
      </c>
    </row>
    <row r="920" spans="1:8" x14ac:dyDescent="0.2">
      <c r="A920" s="43">
        <v>817100</v>
      </c>
      <c r="B920" s="43">
        <v>202103</v>
      </c>
      <c r="C920" s="44">
        <v>28539.47</v>
      </c>
      <c r="D920" s="44">
        <v>1.8</v>
      </c>
      <c r="H920" s="45">
        <v>2</v>
      </c>
    </row>
    <row r="921" spans="1:8" x14ac:dyDescent="0.2">
      <c r="A921" s="43">
        <v>817100</v>
      </c>
      <c r="B921" s="43">
        <v>202104</v>
      </c>
      <c r="C921" s="44">
        <v>29303.37</v>
      </c>
      <c r="D921" s="44">
        <v>1.8</v>
      </c>
      <c r="H921" s="45">
        <v>2</v>
      </c>
    </row>
    <row r="922" spans="1:8" x14ac:dyDescent="0.2">
      <c r="A922" s="43">
        <v>817100</v>
      </c>
      <c r="B922" s="43">
        <v>202105</v>
      </c>
      <c r="C922" s="44">
        <v>30238.03</v>
      </c>
      <c r="D922" s="44">
        <v>1.8</v>
      </c>
      <c r="H922" s="45">
        <v>2</v>
      </c>
    </row>
    <row r="923" spans="1:8" x14ac:dyDescent="0.2">
      <c r="A923" s="43">
        <v>817100</v>
      </c>
      <c r="B923" s="43">
        <v>202106</v>
      </c>
      <c r="C923" s="44">
        <v>44255.08</v>
      </c>
      <c r="D923" s="44">
        <v>1.8</v>
      </c>
      <c r="H923" s="45">
        <v>2</v>
      </c>
    </row>
    <row r="924" spans="1:8" x14ac:dyDescent="0.2">
      <c r="A924" s="43">
        <v>817100</v>
      </c>
      <c r="B924" s="43">
        <v>202107</v>
      </c>
      <c r="C924" s="44">
        <v>36475.71</v>
      </c>
      <c r="D924" s="44">
        <v>1.8</v>
      </c>
      <c r="H924" s="45">
        <v>2</v>
      </c>
    </row>
    <row r="925" spans="1:8" x14ac:dyDescent="0.2">
      <c r="A925" s="43">
        <v>817100</v>
      </c>
      <c r="B925" s="43">
        <v>202108</v>
      </c>
      <c r="C925" s="44">
        <v>30500</v>
      </c>
      <c r="D925" s="44">
        <v>1.8</v>
      </c>
      <c r="H925" s="45">
        <v>2</v>
      </c>
    </row>
    <row r="926" spans="1:8" x14ac:dyDescent="0.2">
      <c r="A926" s="43">
        <v>817100</v>
      </c>
      <c r="B926" s="43">
        <v>202109</v>
      </c>
      <c r="C926" s="44">
        <f>30500+5200</f>
        <v>35700</v>
      </c>
      <c r="D926" s="44">
        <v>1.8</v>
      </c>
      <c r="H926" s="45">
        <v>2</v>
      </c>
    </row>
    <row r="927" spans="1:8" x14ac:dyDescent="0.2">
      <c r="A927" s="43">
        <v>817100</v>
      </c>
      <c r="B927" s="43">
        <v>202110</v>
      </c>
      <c r="C927" s="44">
        <v>30500</v>
      </c>
      <c r="D927" s="44">
        <v>1.8</v>
      </c>
      <c r="H927" s="45">
        <v>2</v>
      </c>
    </row>
    <row r="928" spans="1:8" x14ac:dyDescent="0.2">
      <c r="A928" s="43">
        <v>817100</v>
      </c>
      <c r="B928" s="43">
        <v>202111</v>
      </c>
      <c r="C928" s="44">
        <v>30500</v>
      </c>
      <c r="D928" s="44">
        <v>1.8</v>
      </c>
      <c r="H928" s="45">
        <v>2</v>
      </c>
    </row>
    <row r="929" spans="1:8" x14ac:dyDescent="0.2">
      <c r="A929" s="43">
        <v>817100</v>
      </c>
      <c r="B929" s="43">
        <v>202112</v>
      </c>
      <c r="C929" s="44">
        <v>30500</v>
      </c>
      <c r="D929" s="44">
        <v>1.8</v>
      </c>
      <c r="F929" s="67" cm="1">
        <f t="array" ref="F929">SUM(D918:D929/12)</f>
        <v>1.7999999999999996</v>
      </c>
      <c r="H929" s="45">
        <v>2</v>
      </c>
    </row>
    <row r="930" spans="1:8" x14ac:dyDescent="0.2">
      <c r="A930" s="46" t="s">
        <v>803</v>
      </c>
      <c r="B930" s="43"/>
      <c r="C930" s="47">
        <f>SUM(C918:C929)</f>
        <v>391130.73</v>
      </c>
      <c r="H930" s="45"/>
    </row>
    <row r="931" spans="1:8" x14ac:dyDescent="0.2">
      <c r="A931" s="43">
        <v>817200</v>
      </c>
      <c r="B931" s="43">
        <v>202101</v>
      </c>
      <c r="C931" s="44">
        <v>38160.589999999997</v>
      </c>
      <c r="D931" s="44">
        <v>4</v>
      </c>
      <c r="H931" s="45">
        <v>4</v>
      </c>
    </row>
    <row r="932" spans="1:8" x14ac:dyDescent="0.2">
      <c r="A932" s="43">
        <v>817200</v>
      </c>
      <c r="B932" s="43">
        <v>202102</v>
      </c>
      <c r="C932" s="44">
        <v>49266.86</v>
      </c>
      <c r="D932" s="44">
        <v>4</v>
      </c>
      <c r="H932" s="45">
        <v>4</v>
      </c>
    </row>
    <row r="933" spans="1:8" x14ac:dyDescent="0.2">
      <c r="A933" s="43">
        <v>817200</v>
      </c>
      <c r="B933" s="43">
        <v>202103</v>
      </c>
      <c r="C933" s="44">
        <v>49716.4</v>
      </c>
      <c r="D933" s="44">
        <v>4</v>
      </c>
      <c r="H933" s="45">
        <v>4</v>
      </c>
    </row>
    <row r="934" spans="1:8" x14ac:dyDescent="0.2">
      <c r="A934" s="43">
        <v>817200</v>
      </c>
      <c r="B934" s="43">
        <v>202104</v>
      </c>
      <c r="C934" s="44">
        <v>46371.99</v>
      </c>
      <c r="D934" s="44">
        <v>4</v>
      </c>
      <c r="H934" s="45">
        <v>4</v>
      </c>
    </row>
    <row r="935" spans="1:8" x14ac:dyDescent="0.2">
      <c r="A935" s="43">
        <v>817200</v>
      </c>
      <c r="B935" s="43">
        <v>202105</v>
      </c>
      <c r="C935" s="44">
        <v>48900.89</v>
      </c>
      <c r="D935" s="44">
        <v>4</v>
      </c>
      <c r="H935" s="45">
        <v>4</v>
      </c>
    </row>
    <row r="936" spans="1:8" x14ac:dyDescent="0.2">
      <c r="A936" s="43">
        <v>817200</v>
      </c>
      <c r="B936" s="43">
        <v>202106</v>
      </c>
      <c r="C936" s="44">
        <v>74277.72</v>
      </c>
      <c r="D936" s="44">
        <v>4</v>
      </c>
      <c r="H936" s="45">
        <v>4</v>
      </c>
    </row>
    <row r="937" spans="1:8" x14ac:dyDescent="0.2">
      <c r="A937" s="43">
        <v>817200</v>
      </c>
      <c r="B937" s="43">
        <v>202107</v>
      </c>
      <c r="C937" s="44">
        <v>65527.5</v>
      </c>
      <c r="D937" s="44">
        <v>4</v>
      </c>
      <c r="H937" s="45">
        <v>4</v>
      </c>
    </row>
    <row r="938" spans="1:8" x14ac:dyDescent="0.2">
      <c r="A938" s="43">
        <v>817200</v>
      </c>
      <c r="B938" s="43">
        <v>202108</v>
      </c>
      <c r="C938" s="44">
        <v>48900</v>
      </c>
      <c r="D938" s="44">
        <v>4</v>
      </c>
      <c r="H938" s="45">
        <v>4</v>
      </c>
    </row>
    <row r="939" spans="1:8" x14ac:dyDescent="0.2">
      <c r="A939" s="43">
        <v>817200</v>
      </c>
      <c r="B939" s="43">
        <v>202109</v>
      </c>
      <c r="C939" s="44">
        <f>48900+11500</f>
        <v>60400</v>
      </c>
      <c r="D939" s="44">
        <v>4</v>
      </c>
      <c r="H939" s="45">
        <v>4</v>
      </c>
    </row>
    <row r="940" spans="1:8" x14ac:dyDescent="0.2">
      <c r="A940" s="43">
        <v>817200</v>
      </c>
      <c r="B940" s="43">
        <v>202110</v>
      </c>
      <c r="C940" s="44">
        <v>48900</v>
      </c>
      <c r="D940" s="44">
        <v>4</v>
      </c>
      <c r="H940" s="45">
        <v>4</v>
      </c>
    </row>
    <row r="941" spans="1:8" x14ac:dyDescent="0.2">
      <c r="A941" s="43">
        <v>817200</v>
      </c>
      <c r="B941" s="43">
        <v>202111</v>
      </c>
      <c r="C941" s="44">
        <v>48900</v>
      </c>
      <c r="D941" s="44">
        <v>4</v>
      </c>
      <c r="H941" s="45">
        <v>4</v>
      </c>
    </row>
    <row r="942" spans="1:8" x14ac:dyDescent="0.2">
      <c r="A942" s="43">
        <v>817200</v>
      </c>
      <c r="B942" s="43">
        <v>202112</v>
      </c>
      <c r="C942" s="44">
        <v>48900</v>
      </c>
      <c r="D942" s="44">
        <v>4</v>
      </c>
      <c r="F942" s="67" cm="1">
        <f t="array" ref="F942">SUM(D931:D942/12)</f>
        <v>4</v>
      </c>
      <c r="H942" s="45">
        <v>4</v>
      </c>
    </row>
    <row r="943" spans="1:8" x14ac:dyDescent="0.2">
      <c r="A943" s="46" t="s">
        <v>804</v>
      </c>
      <c r="B943" s="43"/>
      <c r="C943" s="47">
        <f>SUM(C931:C942)</f>
        <v>628221.94999999995</v>
      </c>
      <c r="H943" s="45"/>
    </row>
    <row r="944" spans="1:8" x14ac:dyDescent="0.2">
      <c r="A944" s="43">
        <v>817300</v>
      </c>
      <c r="B944" s="43">
        <v>202101</v>
      </c>
      <c r="C944" s="44">
        <v>247819.53</v>
      </c>
      <c r="D944" s="44">
        <v>11.595000000000001</v>
      </c>
      <c r="H944" s="45">
        <v>14</v>
      </c>
    </row>
    <row r="945" spans="1:8" x14ac:dyDescent="0.2">
      <c r="A945" s="43">
        <v>817300</v>
      </c>
      <c r="B945" s="43">
        <v>202102</v>
      </c>
      <c r="C945" s="44">
        <v>254631.53</v>
      </c>
      <c r="D945" s="44">
        <v>11.88</v>
      </c>
      <c r="H945" s="45">
        <v>14</v>
      </c>
    </row>
    <row r="946" spans="1:8" x14ac:dyDescent="0.2">
      <c r="A946" s="43">
        <v>817300</v>
      </c>
      <c r="B946" s="43">
        <v>202103</v>
      </c>
      <c r="C946" s="44">
        <v>240327.97</v>
      </c>
      <c r="D946" s="44">
        <v>11.88</v>
      </c>
      <c r="H946" s="45">
        <v>14</v>
      </c>
    </row>
    <row r="947" spans="1:8" x14ac:dyDescent="0.2">
      <c r="A947" s="43">
        <v>817300</v>
      </c>
      <c r="B947" s="43">
        <v>202104</v>
      </c>
      <c r="C947" s="44">
        <v>253965.19</v>
      </c>
      <c r="D947" s="44">
        <v>11.88</v>
      </c>
      <c r="H947" s="45">
        <v>14</v>
      </c>
    </row>
    <row r="948" spans="1:8" x14ac:dyDescent="0.2">
      <c r="A948" s="43">
        <v>817300</v>
      </c>
      <c r="B948" s="43">
        <v>202105</v>
      </c>
      <c r="C948" s="44">
        <v>269856.58</v>
      </c>
      <c r="D948" s="44">
        <v>11</v>
      </c>
      <c r="H948" s="45">
        <v>14</v>
      </c>
    </row>
    <row r="949" spans="1:8" x14ac:dyDescent="0.2">
      <c r="A949" s="43">
        <v>817300</v>
      </c>
      <c r="B949" s="43">
        <v>202106</v>
      </c>
      <c r="C949" s="44">
        <v>317604.40000000002</v>
      </c>
      <c r="D949" s="44">
        <v>11.6</v>
      </c>
      <c r="H949" s="45">
        <v>14</v>
      </c>
    </row>
    <row r="950" spans="1:8" x14ac:dyDescent="0.2">
      <c r="A950" s="43">
        <v>817300</v>
      </c>
      <c r="B950" s="43">
        <v>202107</v>
      </c>
      <c r="C950" s="44">
        <v>277963.53000000003</v>
      </c>
      <c r="D950" s="44">
        <v>11.6</v>
      </c>
      <c r="H950" s="45">
        <v>14</v>
      </c>
    </row>
    <row r="951" spans="1:8" x14ac:dyDescent="0.2">
      <c r="A951" s="43">
        <v>817300</v>
      </c>
      <c r="B951" s="43">
        <v>202108</v>
      </c>
      <c r="C951" s="44">
        <v>265000</v>
      </c>
      <c r="D951" s="44">
        <v>11.6</v>
      </c>
      <c r="H951" s="45">
        <v>14</v>
      </c>
    </row>
    <row r="952" spans="1:8" x14ac:dyDescent="0.2">
      <c r="A952" s="43">
        <v>817300</v>
      </c>
      <c r="B952" s="43">
        <v>202109</v>
      </c>
      <c r="C952" s="44">
        <f>265000+74000</f>
        <v>339000</v>
      </c>
      <c r="D952" s="44">
        <v>11.6</v>
      </c>
      <c r="H952" s="45">
        <v>14</v>
      </c>
    </row>
    <row r="953" spans="1:8" x14ac:dyDescent="0.2">
      <c r="A953" s="43">
        <v>817300</v>
      </c>
      <c r="B953" s="43">
        <v>202110</v>
      </c>
      <c r="C953" s="44">
        <v>265000</v>
      </c>
      <c r="D953" s="44">
        <v>11.6</v>
      </c>
      <c r="H953" s="45">
        <v>14</v>
      </c>
    </row>
    <row r="954" spans="1:8" x14ac:dyDescent="0.2">
      <c r="A954" s="43">
        <v>817300</v>
      </c>
      <c r="B954" s="43">
        <v>202111</v>
      </c>
      <c r="C954" s="44">
        <v>265000</v>
      </c>
      <c r="D954" s="44">
        <v>11.6</v>
      </c>
      <c r="H954" s="45">
        <v>14</v>
      </c>
    </row>
    <row r="955" spans="1:8" x14ac:dyDescent="0.2">
      <c r="A955" s="43">
        <v>817300</v>
      </c>
      <c r="B955" s="43">
        <v>202112</v>
      </c>
      <c r="C955" s="44">
        <v>265000</v>
      </c>
      <c r="D955" s="44">
        <v>11.6</v>
      </c>
      <c r="F955" s="67" cm="1">
        <f t="array" ref="F955">SUM(D944:D955/12)</f>
        <v>11.619583333333335</v>
      </c>
      <c r="H955" s="45">
        <v>14</v>
      </c>
    </row>
    <row r="956" spans="1:8" x14ac:dyDescent="0.2">
      <c r="A956" s="46" t="s">
        <v>805</v>
      </c>
      <c r="B956" s="43"/>
      <c r="C956" s="47">
        <f>SUM(C944:C955)</f>
        <v>3261168.7300000004</v>
      </c>
      <c r="H956" s="45"/>
    </row>
    <row r="957" spans="1:8" x14ac:dyDescent="0.2">
      <c r="A957" s="43">
        <v>817700</v>
      </c>
      <c r="B957" s="43">
        <v>202101</v>
      </c>
      <c r="C957" s="44">
        <v>65043.65</v>
      </c>
      <c r="D957" s="44">
        <v>4.5</v>
      </c>
      <c r="H957" s="45">
        <v>5</v>
      </c>
    </row>
    <row r="958" spans="1:8" x14ac:dyDescent="0.2">
      <c r="A958" s="43">
        <v>817700</v>
      </c>
      <c r="B958" s="43">
        <v>202102</v>
      </c>
      <c r="C958" s="44">
        <v>72882</v>
      </c>
      <c r="D958" s="44">
        <v>4.5</v>
      </c>
      <c r="H958" s="45">
        <v>5</v>
      </c>
    </row>
    <row r="959" spans="1:8" x14ac:dyDescent="0.2">
      <c r="A959" s="43">
        <v>817700</v>
      </c>
      <c r="B959" s="43">
        <v>202103</v>
      </c>
      <c r="C959" s="44">
        <v>60424.54</v>
      </c>
      <c r="D959" s="44">
        <v>4.5</v>
      </c>
      <c r="H959" s="45">
        <v>5</v>
      </c>
    </row>
    <row r="960" spans="1:8" x14ac:dyDescent="0.2">
      <c r="A960" s="43">
        <v>817700</v>
      </c>
      <c r="B960" s="43">
        <v>202104</v>
      </c>
      <c r="C960" s="44">
        <v>48197.65</v>
      </c>
      <c r="D960" s="44">
        <v>3.55</v>
      </c>
      <c r="H960" s="45">
        <v>5</v>
      </c>
    </row>
    <row r="961" spans="1:8" x14ac:dyDescent="0.2">
      <c r="A961" s="43">
        <v>817700</v>
      </c>
      <c r="B961" s="43">
        <v>202105</v>
      </c>
      <c r="C961" s="44">
        <v>74944.639999999999</v>
      </c>
      <c r="D961" s="44">
        <v>4.5</v>
      </c>
      <c r="H961" s="45">
        <v>5</v>
      </c>
    </row>
    <row r="962" spans="1:8" x14ac:dyDescent="0.2">
      <c r="A962" s="43">
        <v>817700</v>
      </c>
      <c r="B962" s="43">
        <v>202106</v>
      </c>
      <c r="C962" s="44">
        <v>83021.039999999994</v>
      </c>
      <c r="D962" s="44">
        <v>4.5</v>
      </c>
      <c r="H962" s="45">
        <v>5</v>
      </c>
    </row>
    <row r="963" spans="1:8" x14ac:dyDescent="0.2">
      <c r="A963" s="43">
        <v>817700</v>
      </c>
      <c r="B963" s="43">
        <v>202107</v>
      </c>
      <c r="C963" s="44">
        <v>73309.94</v>
      </c>
      <c r="D963" s="44">
        <v>4.5</v>
      </c>
      <c r="H963" s="45">
        <v>5</v>
      </c>
    </row>
    <row r="964" spans="1:8" x14ac:dyDescent="0.2">
      <c r="A964" s="43">
        <v>817700</v>
      </c>
      <c r="B964" s="43">
        <v>202108</v>
      </c>
      <c r="C964" s="44">
        <v>65000</v>
      </c>
      <c r="D964" s="44">
        <v>4.5</v>
      </c>
      <c r="H964" s="45">
        <v>5</v>
      </c>
    </row>
    <row r="965" spans="1:8" x14ac:dyDescent="0.2">
      <c r="A965" s="43">
        <v>817700</v>
      </c>
      <c r="B965" s="43">
        <v>202109</v>
      </c>
      <c r="C965" s="44">
        <f>C964+20000</f>
        <v>85000</v>
      </c>
      <c r="D965" s="44">
        <v>4.5</v>
      </c>
      <c r="H965" s="45">
        <v>5</v>
      </c>
    </row>
    <row r="966" spans="1:8" x14ac:dyDescent="0.2">
      <c r="A966" s="43">
        <v>817700</v>
      </c>
      <c r="B966" s="43">
        <v>202110</v>
      </c>
      <c r="C966" s="44">
        <v>65000</v>
      </c>
      <c r="D966" s="44">
        <v>4.5</v>
      </c>
      <c r="H966" s="45">
        <v>5</v>
      </c>
    </row>
    <row r="967" spans="1:8" x14ac:dyDescent="0.2">
      <c r="A967" s="43">
        <v>817700</v>
      </c>
      <c r="B967" s="43">
        <v>202111</v>
      </c>
      <c r="C967" s="44">
        <v>65000</v>
      </c>
      <c r="D967" s="44">
        <v>4.5</v>
      </c>
      <c r="H967" s="45">
        <v>5</v>
      </c>
    </row>
    <row r="968" spans="1:8" x14ac:dyDescent="0.2">
      <c r="A968" s="43">
        <v>817700</v>
      </c>
      <c r="B968" s="43">
        <v>202112</v>
      </c>
      <c r="C968" s="44">
        <v>65000</v>
      </c>
      <c r="D968" s="44">
        <v>4.5</v>
      </c>
      <c r="F968" s="67" cm="1">
        <f t="array" ref="F968">SUM(D957:D968/12)</f>
        <v>4.4208333333333334</v>
      </c>
      <c r="H968" s="45">
        <v>5</v>
      </c>
    </row>
    <row r="969" spans="1:8" x14ac:dyDescent="0.2">
      <c r="A969" s="46" t="s">
        <v>806</v>
      </c>
      <c r="B969" s="43"/>
      <c r="C969" s="47">
        <f>SUM(C957:C968)</f>
        <v>822823.46</v>
      </c>
      <c r="H969" s="45"/>
    </row>
    <row r="970" spans="1:8" x14ac:dyDescent="0.2">
      <c r="A970" s="43">
        <v>817710</v>
      </c>
      <c r="B970" s="43">
        <v>202101</v>
      </c>
      <c r="C970" s="44">
        <f>24370.98+2071.16</f>
        <v>26442.14</v>
      </c>
      <c r="D970" s="44">
        <v>1</v>
      </c>
      <c r="H970" s="45">
        <v>1</v>
      </c>
    </row>
    <row r="971" spans="1:8" x14ac:dyDescent="0.2">
      <c r="A971" s="43">
        <v>817710</v>
      </c>
      <c r="B971" s="43">
        <v>202102</v>
      </c>
      <c r="C971" s="44">
        <f>23830.91+3008.73</f>
        <v>26839.64</v>
      </c>
      <c r="D971" s="44">
        <v>1</v>
      </c>
      <c r="H971" s="45">
        <v>1</v>
      </c>
    </row>
    <row r="972" spans="1:8" x14ac:dyDescent="0.2">
      <c r="A972" s="43">
        <v>817710</v>
      </c>
      <c r="B972" s="43">
        <v>202103</v>
      </c>
      <c r="C972" s="44">
        <f>28429.43+3019.32</f>
        <v>31448.75</v>
      </c>
      <c r="D972" s="44">
        <v>1.5</v>
      </c>
      <c r="H972" s="45">
        <v>2</v>
      </c>
    </row>
    <row r="973" spans="1:8" x14ac:dyDescent="0.2">
      <c r="A973" s="43">
        <v>817710</v>
      </c>
      <c r="B973" s="43">
        <v>202104</v>
      </c>
      <c r="C973" s="44">
        <f>32223.96+2930.25</f>
        <v>35154.21</v>
      </c>
      <c r="D973" s="44">
        <v>1.5</v>
      </c>
      <c r="H973" s="45">
        <v>2</v>
      </c>
    </row>
    <row r="974" spans="1:8" x14ac:dyDescent="0.2">
      <c r="A974" s="43">
        <v>817710</v>
      </c>
      <c r="B974" s="43">
        <v>202105</v>
      </c>
      <c r="C974" s="44">
        <f>39447.89+2077.67</f>
        <v>41525.56</v>
      </c>
      <c r="D974" s="44">
        <v>1.5</v>
      </c>
      <c r="H974" s="45">
        <v>2</v>
      </c>
    </row>
    <row r="975" spans="1:8" x14ac:dyDescent="0.2">
      <c r="A975" s="43">
        <v>817710</v>
      </c>
      <c r="B975" s="43">
        <v>202106</v>
      </c>
      <c r="C975" s="44">
        <f>39264.09+3278.31</f>
        <v>42542.399999999994</v>
      </c>
      <c r="D975" s="44">
        <v>1.5</v>
      </c>
      <c r="H975" s="45">
        <v>2</v>
      </c>
    </row>
    <row r="976" spans="1:8" x14ac:dyDescent="0.2">
      <c r="A976" s="43">
        <v>817710</v>
      </c>
      <c r="B976" s="43">
        <v>202107</v>
      </c>
      <c r="C976" s="44">
        <f>32573.58+3264.17</f>
        <v>35837.75</v>
      </c>
      <c r="D976" s="44">
        <v>1.5</v>
      </c>
      <c r="H976" s="45">
        <v>2</v>
      </c>
    </row>
    <row r="977" spans="1:8" x14ac:dyDescent="0.2">
      <c r="A977" s="43">
        <v>817710</v>
      </c>
      <c r="B977" s="43">
        <v>202108</v>
      </c>
      <c r="C977" s="44">
        <f t="shared" ref="C977:C981" si="2">32573.58+3264.17</f>
        <v>35837.75</v>
      </c>
      <c r="D977" s="44">
        <v>1.5</v>
      </c>
      <c r="H977" s="45">
        <v>2</v>
      </c>
    </row>
    <row r="978" spans="1:8" x14ac:dyDescent="0.2">
      <c r="A978" s="43">
        <v>817710</v>
      </c>
      <c r="B978" s="43">
        <v>202109</v>
      </c>
      <c r="C978" s="44">
        <f t="shared" si="2"/>
        <v>35837.75</v>
      </c>
      <c r="D978" s="44">
        <v>1.5</v>
      </c>
      <c r="H978" s="45">
        <v>2</v>
      </c>
    </row>
    <row r="979" spans="1:8" x14ac:dyDescent="0.2">
      <c r="A979" s="43">
        <v>817710</v>
      </c>
      <c r="B979" s="43">
        <v>202110</v>
      </c>
      <c r="C979" s="44">
        <f t="shared" si="2"/>
        <v>35837.75</v>
      </c>
      <c r="D979" s="44">
        <v>1.5</v>
      </c>
      <c r="H979" s="45">
        <v>2</v>
      </c>
    </row>
    <row r="980" spans="1:8" x14ac:dyDescent="0.2">
      <c r="A980" s="43">
        <v>817710</v>
      </c>
      <c r="B980" s="43">
        <v>202111</v>
      </c>
      <c r="C980" s="44">
        <f t="shared" si="2"/>
        <v>35837.75</v>
      </c>
      <c r="D980" s="44">
        <v>1.5</v>
      </c>
      <c r="H980" s="45">
        <v>2</v>
      </c>
    </row>
    <row r="981" spans="1:8" x14ac:dyDescent="0.2">
      <c r="A981" s="43">
        <v>817710</v>
      </c>
      <c r="B981" s="43">
        <v>202112</v>
      </c>
      <c r="C981" s="44">
        <f t="shared" si="2"/>
        <v>35837.75</v>
      </c>
      <c r="D981" s="44">
        <v>1.5</v>
      </c>
      <c r="F981" s="67" cm="1">
        <f t="array" ref="F981">SUM(D970:D981/12)</f>
        <v>1.4166666666666665</v>
      </c>
      <c r="H981" s="45">
        <v>2</v>
      </c>
    </row>
    <row r="982" spans="1:8" x14ac:dyDescent="0.2">
      <c r="A982" s="46" t="s">
        <v>807</v>
      </c>
      <c r="B982" s="43"/>
      <c r="C982" s="47">
        <f>SUM(C970:C981)</f>
        <v>418979.19999999995</v>
      </c>
      <c r="H982" s="45"/>
    </row>
    <row r="983" spans="1:8" x14ac:dyDescent="0.2">
      <c r="A983" s="43">
        <v>817900</v>
      </c>
      <c r="B983" s="43">
        <v>202101</v>
      </c>
      <c r="C983" s="44">
        <v>17254.22</v>
      </c>
      <c r="D983" s="44">
        <v>1</v>
      </c>
      <c r="H983" s="45">
        <v>1</v>
      </c>
    </row>
    <row r="984" spans="1:8" x14ac:dyDescent="0.2">
      <c r="A984" s="43">
        <v>817900</v>
      </c>
      <c r="B984" s="43">
        <v>202102</v>
      </c>
      <c r="C984" s="44">
        <v>19324.02</v>
      </c>
      <c r="D984" s="44">
        <v>1</v>
      </c>
      <c r="H984" s="45">
        <v>1</v>
      </c>
    </row>
    <row r="985" spans="1:8" x14ac:dyDescent="0.2">
      <c r="A985" s="43">
        <v>817900</v>
      </c>
      <c r="B985" s="43">
        <v>202103</v>
      </c>
      <c r="C985" s="44">
        <v>17149.310000000001</v>
      </c>
      <c r="D985" s="44">
        <v>1</v>
      </c>
      <c r="H985" s="45">
        <v>1</v>
      </c>
    </row>
    <row r="986" spans="1:8" x14ac:dyDescent="0.2">
      <c r="A986" s="43">
        <v>817900</v>
      </c>
      <c r="B986" s="43">
        <v>202104</v>
      </c>
      <c r="C986" s="44">
        <v>18732.61</v>
      </c>
      <c r="D986" s="44">
        <v>1</v>
      </c>
      <c r="H986" s="45">
        <v>1</v>
      </c>
    </row>
    <row r="987" spans="1:8" x14ac:dyDescent="0.2">
      <c r="A987" s="43">
        <v>817900</v>
      </c>
      <c r="B987" s="43">
        <v>202105</v>
      </c>
      <c r="C987" s="44">
        <v>17410.75</v>
      </c>
      <c r="D987" s="44">
        <v>1</v>
      </c>
      <c r="H987" s="45">
        <v>1</v>
      </c>
    </row>
    <row r="988" spans="1:8" x14ac:dyDescent="0.2">
      <c r="A988" s="43">
        <v>817900</v>
      </c>
      <c r="B988" s="43">
        <v>202106</v>
      </c>
      <c r="C988" s="44">
        <v>22296.34</v>
      </c>
      <c r="D988" s="44">
        <v>1</v>
      </c>
      <c r="H988" s="45">
        <v>1</v>
      </c>
    </row>
    <row r="989" spans="1:8" x14ac:dyDescent="0.2">
      <c r="A989" s="43">
        <v>817900</v>
      </c>
      <c r="B989" s="43">
        <v>202107</v>
      </c>
      <c r="C989" s="44">
        <v>18888.57</v>
      </c>
      <c r="D989" s="44">
        <v>1</v>
      </c>
      <c r="H989" s="45">
        <v>1</v>
      </c>
    </row>
    <row r="990" spans="1:8" x14ac:dyDescent="0.2">
      <c r="A990" s="43">
        <v>817900</v>
      </c>
      <c r="B990" s="43">
        <v>202108</v>
      </c>
      <c r="C990" s="44">
        <v>17500</v>
      </c>
      <c r="D990" s="44">
        <v>1</v>
      </c>
      <c r="H990" s="45">
        <v>1</v>
      </c>
    </row>
    <row r="991" spans="1:8" x14ac:dyDescent="0.2">
      <c r="A991" s="43">
        <v>817900</v>
      </c>
      <c r="B991" s="43">
        <v>202109</v>
      </c>
      <c r="C991" s="44">
        <v>17500</v>
      </c>
      <c r="D991" s="44">
        <v>1</v>
      </c>
      <c r="H991" s="45">
        <v>1</v>
      </c>
    </row>
    <row r="992" spans="1:8" x14ac:dyDescent="0.2">
      <c r="A992" s="43">
        <v>817900</v>
      </c>
      <c r="B992" s="43">
        <v>202110</v>
      </c>
      <c r="C992" s="44">
        <v>17500</v>
      </c>
      <c r="D992" s="44">
        <v>1</v>
      </c>
      <c r="H992" s="45">
        <v>1</v>
      </c>
    </row>
    <row r="993" spans="1:8" x14ac:dyDescent="0.2">
      <c r="A993" s="43">
        <v>817900</v>
      </c>
      <c r="B993" s="43">
        <v>202111</v>
      </c>
      <c r="C993" s="44">
        <v>17500</v>
      </c>
      <c r="D993" s="44">
        <v>1</v>
      </c>
      <c r="H993" s="45">
        <v>1</v>
      </c>
    </row>
    <row r="994" spans="1:8" x14ac:dyDescent="0.2">
      <c r="A994" s="43">
        <v>817900</v>
      </c>
      <c r="B994" s="43">
        <v>202112</v>
      </c>
      <c r="C994" s="44">
        <v>17500</v>
      </c>
      <c r="D994" s="44">
        <v>1</v>
      </c>
      <c r="F994" s="67" cm="1">
        <f t="array" ref="F994">SUM(D983:D994/12)</f>
        <v>1</v>
      </c>
      <c r="H994" s="45">
        <v>1</v>
      </c>
    </row>
    <row r="995" spans="1:8" x14ac:dyDescent="0.2">
      <c r="A995" s="46" t="s">
        <v>808</v>
      </c>
      <c r="B995" s="43"/>
      <c r="C995" s="47">
        <f>SUM(C983:C994)</f>
        <v>218555.82</v>
      </c>
      <c r="H995" s="45"/>
    </row>
    <row r="996" spans="1:8" x14ac:dyDescent="0.2">
      <c r="A996" s="43">
        <v>817910</v>
      </c>
      <c r="B996" s="43">
        <v>202101</v>
      </c>
      <c r="C996" s="44">
        <v>122132.78</v>
      </c>
      <c r="D996" s="44">
        <v>7</v>
      </c>
      <c r="H996" s="45">
        <v>7</v>
      </c>
    </row>
    <row r="997" spans="1:8" x14ac:dyDescent="0.2">
      <c r="A997" s="43">
        <v>817910</v>
      </c>
      <c r="B997" s="43">
        <v>202102</v>
      </c>
      <c r="C997" s="44">
        <v>128472.12</v>
      </c>
      <c r="D997" s="44">
        <v>7</v>
      </c>
      <c r="H997" s="45">
        <v>7</v>
      </c>
    </row>
    <row r="998" spans="1:8" x14ac:dyDescent="0.2">
      <c r="A998" s="43">
        <v>817910</v>
      </c>
      <c r="B998" s="43">
        <v>202103</v>
      </c>
      <c r="C998" s="44">
        <v>116187.76</v>
      </c>
      <c r="D998" s="44">
        <v>7</v>
      </c>
      <c r="H998" s="45">
        <v>7</v>
      </c>
    </row>
    <row r="999" spans="1:8" x14ac:dyDescent="0.2">
      <c r="A999" s="43">
        <v>817910</v>
      </c>
      <c r="B999" s="43">
        <v>202104</v>
      </c>
      <c r="C999" s="44">
        <v>118223.64</v>
      </c>
      <c r="D999" s="44">
        <v>7</v>
      </c>
      <c r="H999" s="45">
        <v>7</v>
      </c>
    </row>
    <row r="1000" spans="1:8" x14ac:dyDescent="0.2">
      <c r="A1000" s="43">
        <v>817910</v>
      </c>
      <c r="B1000" s="43">
        <v>202105</v>
      </c>
      <c r="C1000" s="44">
        <v>123513.34</v>
      </c>
      <c r="D1000" s="44">
        <v>7</v>
      </c>
      <c r="H1000" s="45">
        <v>7</v>
      </c>
    </row>
    <row r="1001" spans="1:8" x14ac:dyDescent="0.2">
      <c r="A1001" s="43">
        <v>817910</v>
      </c>
      <c r="B1001" s="43">
        <v>202106</v>
      </c>
      <c r="C1001" s="44">
        <v>168866.26</v>
      </c>
      <c r="D1001" s="44">
        <v>7.6</v>
      </c>
      <c r="H1001" s="45">
        <v>8</v>
      </c>
    </row>
    <row r="1002" spans="1:8" x14ac:dyDescent="0.2">
      <c r="A1002" s="43">
        <v>817910</v>
      </c>
      <c r="B1002" s="43">
        <v>202107</v>
      </c>
      <c r="C1002" s="44">
        <v>145177.39000000001</v>
      </c>
      <c r="D1002" s="44">
        <v>8</v>
      </c>
      <c r="H1002" s="45">
        <v>8</v>
      </c>
    </row>
    <row r="1003" spans="1:8" x14ac:dyDescent="0.2">
      <c r="A1003" s="43">
        <v>817910</v>
      </c>
      <c r="B1003" s="43">
        <v>202108</v>
      </c>
      <c r="C1003" s="44">
        <v>123500</v>
      </c>
      <c r="D1003" s="44">
        <v>8</v>
      </c>
      <c r="H1003" s="45">
        <v>8</v>
      </c>
    </row>
    <row r="1004" spans="1:8" x14ac:dyDescent="0.2">
      <c r="A1004" s="43">
        <v>817910</v>
      </c>
      <c r="B1004" s="43">
        <v>202109</v>
      </c>
      <c r="C1004" s="44">
        <v>123500</v>
      </c>
      <c r="D1004" s="44">
        <v>8</v>
      </c>
      <c r="H1004" s="45">
        <v>8</v>
      </c>
    </row>
    <row r="1005" spans="1:8" x14ac:dyDescent="0.2">
      <c r="A1005" s="43">
        <v>817910</v>
      </c>
      <c r="B1005" s="43">
        <v>202110</v>
      </c>
      <c r="C1005" s="44">
        <v>123500</v>
      </c>
      <c r="D1005" s="44">
        <v>8</v>
      </c>
      <c r="H1005" s="45">
        <v>8</v>
      </c>
    </row>
    <row r="1006" spans="1:8" x14ac:dyDescent="0.2">
      <c r="A1006" s="43">
        <v>817910</v>
      </c>
      <c r="B1006" s="43">
        <v>202111</v>
      </c>
      <c r="C1006" s="44">
        <v>123500</v>
      </c>
      <c r="D1006" s="44">
        <v>8</v>
      </c>
      <c r="H1006" s="45">
        <v>8</v>
      </c>
    </row>
    <row r="1007" spans="1:8" x14ac:dyDescent="0.2">
      <c r="A1007" s="43">
        <v>817910</v>
      </c>
      <c r="B1007" s="43">
        <v>202112</v>
      </c>
      <c r="C1007" s="44">
        <v>123500</v>
      </c>
      <c r="D1007" s="44">
        <v>8</v>
      </c>
      <c r="F1007" s="67" cm="1">
        <f t="array" ref="F1007">SUM(D996:D1007/12)</f>
        <v>7.5500000000000016</v>
      </c>
      <c r="H1007" s="45">
        <v>8</v>
      </c>
    </row>
    <row r="1008" spans="1:8" x14ac:dyDescent="0.2">
      <c r="A1008" s="46" t="s">
        <v>809</v>
      </c>
      <c r="B1008" s="43"/>
      <c r="C1008" s="47">
        <f>SUM(C996:C1007)</f>
        <v>1540073.29</v>
      </c>
      <c r="H1008" s="45"/>
    </row>
    <row r="1009" spans="1:8" x14ac:dyDescent="0.2">
      <c r="A1009" s="43">
        <v>817911</v>
      </c>
      <c r="B1009" s="43">
        <v>202101</v>
      </c>
      <c r="C1009" s="44">
        <v>19712.22</v>
      </c>
      <c r="D1009" s="44">
        <v>1</v>
      </c>
      <c r="H1009" s="45">
        <v>3</v>
      </c>
    </row>
    <row r="1010" spans="1:8" x14ac:dyDescent="0.2">
      <c r="A1010" s="43">
        <v>817911</v>
      </c>
      <c r="B1010" s="43">
        <v>202102</v>
      </c>
      <c r="C1010" s="44">
        <v>67364.850000000006</v>
      </c>
      <c r="D1010" s="44">
        <v>1</v>
      </c>
      <c r="H1010" s="45">
        <v>2</v>
      </c>
    </row>
    <row r="1011" spans="1:8" x14ac:dyDescent="0.2">
      <c r="A1011" s="43">
        <v>817911</v>
      </c>
      <c r="B1011" s="43">
        <v>202103</v>
      </c>
      <c r="C1011" s="44">
        <v>19683.09</v>
      </c>
      <c r="D1011" s="44">
        <v>1</v>
      </c>
      <c r="H1011" s="45">
        <v>3</v>
      </c>
    </row>
    <row r="1012" spans="1:8" x14ac:dyDescent="0.2">
      <c r="A1012" s="43">
        <v>817911</v>
      </c>
      <c r="B1012" s="43">
        <v>202104</v>
      </c>
      <c r="C1012" s="44">
        <v>20812.73</v>
      </c>
      <c r="D1012" s="44">
        <v>1</v>
      </c>
      <c r="H1012" s="45">
        <v>3</v>
      </c>
    </row>
    <row r="1013" spans="1:8" x14ac:dyDescent="0.2">
      <c r="A1013" s="43">
        <v>817911</v>
      </c>
      <c r="B1013" s="43">
        <v>202105</v>
      </c>
      <c r="C1013" s="44">
        <v>21167.38</v>
      </c>
      <c r="D1013" s="44">
        <v>1</v>
      </c>
      <c r="H1013" s="45">
        <v>3</v>
      </c>
    </row>
    <row r="1014" spans="1:8" x14ac:dyDescent="0.2">
      <c r="A1014" s="43">
        <v>817911</v>
      </c>
      <c r="B1014" s="43">
        <v>202106</v>
      </c>
      <c r="C1014" s="44">
        <v>25214.87</v>
      </c>
      <c r="D1014" s="44">
        <v>1</v>
      </c>
      <c r="H1014" s="45">
        <v>2</v>
      </c>
    </row>
    <row r="1015" spans="1:8" x14ac:dyDescent="0.2">
      <c r="A1015" s="43">
        <v>817911</v>
      </c>
      <c r="B1015" s="43">
        <v>202107</v>
      </c>
      <c r="C1015" s="44">
        <v>22003.200000000001</v>
      </c>
      <c r="D1015" s="44">
        <v>1</v>
      </c>
      <c r="H1015" s="45">
        <v>2</v>
      </c>
    </row>
    <row r="1016" spans="1:8" x14ac:dyDescent="0.2">
      <c r="A1016" s="43">
        <v>817911</v>
      </c>
      <c r="B1016" s="43">
        <v>202108</v>
      </c>
      <c r="C1016" s="44">
        <v>21500</v>
      </c>
      <c r="D1016" s="44">
        <v>1</v>
      </c>
      <c r="H1016" s="45">
        <v>2</v>
      </c>
    </row>
    <row r="1017" spans="1:8" x14ac:dyDescent="0.2">
      <c r="A1017" s="43">
        <v>817911</v>
      </c>
      <c r="B1017" s="43">
        <v>202109</v>
      </c>
      <c r="C1017" s="44">
        <v>21500</v>
      </c>
      <c r="D1017" s="44">
        <v>1</v>
      </c>
      <c r="H1017" s="45">
        <v>2</v>
      </c>
    </row>
    <row r="1018" spans="1:8" x14ac:dyDescent="0.2">
      <c r="A1018" s="43">
        <v>817911</v>
      </c>
      <c r="B1018" s="43">
        <v>202110</v>
      </c>
      <c r="C1018" s="44">
        <v>21500</v>
      </c>
      <c r="D1018" s="44">
        <v>1</v>
      </c>
      <c r="H1018" s="45">
        <v>2</v>
      </c>
    </row>
    <row r="1019" spans="1:8" x14ac:dyDescent="0.2">
      <c r="A1019" s="43">
        <v>817911</v>
      </c>
      <c r="B1019" s="43">
        <v>202111</v>
      </c>
      <c r="C1019" s="44">
        <v>21500</v>
      </c>
      <c r="D1019" s="44">
        <v>1</v>
      </c>
      <c r="H1019" s="45">
        <v>2</v>
      </c>
    </row>
    <row r="1020" spans="1:8" x14ac:dyDescent="0.2">
      <c r="A1020" s="43">
        <v>817911</v>
      </c>
      <c r="B1020" s="43">
        <v>202112</v>
      </c>
      <c r="C1020" s="44">
        <v>21500</v>
      </c>
      <c r="D1020" s="44">
        <v>1</v>
      </c>
      <c r="F1020" s="67" cm="1">
        <f t="array" ref="F1020">SUM(D1009:D1020/12)</f>
        <v>1</v>
      </c>
      <c r="H1020" s="45">
        <v>2</v>
      </c>
    </row>
    <row r="1021" spans="1:8" x14ac:dyDescent="0.2">
      <c r="A1021" s="46" t="s">
        <v>810</v>
      </c>
      <c r="B1021" s="43"/>
      <c r="C1021" s="47">
        <f>SUM(C1009:C1020)</f>
        <v>303458.33999999997</v>
      </c>
      <c r="H1021" s="45"/>
    </row>
    <row r="1022" spans="1:8" x14ac:dyDescent="0.2">
      <c r="A1022" s="43">
        <v>817912</v>
      </c>
      <c r="B1022" s="43">
        <v>202101</v>
      </c>
      <c r="C1022" s="44">
        <v>21338.12</v>
      </c>
      <c r="D1022" s="44">
        <v>2</v>
      </c>
      <c r="H1022" s="45">
        <v>2</v>
      </c>
    </row>
    <row r="1023" spans="1:8" x14ac:dyDescent="0.2">
      <c r="A1023" s="43">
        <v>817912</v>
      </c>
      <c r="B1023" s="43">
        <v>202102</v>
      </c>
      <c r="C1023" s="44">
        <v>20943.62</v>
      </c>
      <c r="D1023" s="44">
        <v>2</v>
      </c>
      <c r="H1023" s="45">
        <v>2</v>
      </c>
    </row>
    <row r="1024" spans="1:8" x14ac:dyDescent="0.2">
      <c r="A1024" s="43">
        <v>817912</v>
      </c>
      <c r="B1024" s="43">
        <v>202103</v>
      </c>
      <c r="C1024" s="44">
        <v>20665.63</v>
      </c>
      <c r="D1024" s="44">
        <v>2</v>
      </c>
      <c r="H1024" s="45">
        <v>2</v>
      </c>
    </row>
    <row r="1025" spans="1:8" x14ac:dyDescent="0.2">
      <c r="A1025" s="43">
        <v>817912</v>
      </c>
      <c r="B1025" s="43">
        <v>202104</v>
      </c>
      <c r="C1025" s="44">
        <v>20717.05</v>
      </c>
      <c r="D1025" s="44">
        <v>2</v>
      </c>
      <c r="H1025" s="45">
        <v>2</v>
      </c>
    </row>
    <row r="1026" spans="1:8" x14ac:dyDescent="0.2">
      <c r="A1026" s="43">
        <v>817912</v>
      </c>
      <c r="B1026" s="43">
        <v>202105</v>
      </c>
      <c r="C1026" s="44">
        <v>25334.6</v>
      </c>
      <c r="D1026" s="44">
        <v>2</v>
      </c>
      <c r="H1026" s="45">
        <v>2</v>
      </c>
    </row>
    <row r="1027" spans="1:8" x14ac:dyDescent="0.2">
      <c r="A1027" s="43">
        <v>817912</v>
      </c>
      <c r="B1027" s="43">
        <v>202106</v>
      </c>
      <c r="C1027" s="44">
        <v>29307.38</v>
      </c>
      <c r="D1027" s="44">
        <v>1.6659999999999999</v>
      </c>
      <c r="H1027" s="45">
        <v>2</v>
      </c>
    </row>
    <row r="1028" spans="1:8" x14ac:dyDescent="0.2">
      <c r="A1028" s="43">
        <v>817912</v>
      </c>
      <c r="B1028" s="43">
        <v>202107</v>
      </c>
      <c r="C1028" s="44">
        <v>24051.57</v>
      </c>
      <c r="D1028" s="44">
        <v>2</v>
      </c>
      <c r="H1028" s="45">
        <v>2</v>
      </c>
    </row>
    <row r="1029" spans="1:8" x14ac:dyDescent="0.2">
      <c r="A1029" s="43">
        <v>817912</v>
      </c>
      <c r="B1029" s="43">
        <v>202108</v>
      </c>
      <c r="C1029" s="44">
        <v>22000</v>
      </c>
      <c r="D1029" s="44">
        <v>2</v>
      </c>
      <c r="H1029" s="45">
        <v>2</v>
      </c>
    </row>
    <row r="1030" spans="1:8" x14ac:dyDescent="0.2">
      <c r="A1030" s="43">
        <v>817912</v>
      </c>
      <c r="B1030" s="43">
        <v>202109</v>
      </c>
      <c r="C1030" s="44">
        <v>22000</v>
      </c>
      <c r="D1030" s="44">
        <v>2</v>
      </c>
      <c r="H1030" s="45">
        <v>2</v>
      </c>
    </row>
    <row r="1031" spans="1:8" x14ac:dyDescent="0.2">
      <c r="A1031" s="43">
        <v>817912</v>
      </c>
      <c r="B1031" s="43">
        <v>202110</v>
      </c>
      <c r="C1031" s="44">
        <v>22000</v>
      </c>
      <c r="D1031" s="44">
        <v>2</v>
      </c>
      <c r="H1031" s="45">
        <v>2</v>
      </c>
    </row>
    <row r="1032" spans="1:8" x14ac:dyDescent="0.2">
      <c r="A1032" s="43">
        <v>817912</v>
      </c>
      <c r="B1032" s="43">
        <v>202111</v>
      </c>
      <c r="C1032" s="44">
        <v>22000</v>
      </c>
      <c r="D1032" s="44">
        <v>2</v>
      </c>
      <c r="H1032" s="45">
        <v>2</v>
      </c>
    </row>
    <row r="1033" spans="1:8" x14ac:dyDescent="0.2">
      <c r="A1033" s="43">
        <v>817912</v>
      </c>
      <c r="B1033" s="43">
        <v>202112</v>
      </c>
      <c r="C1033" s="44">
        <v>22000</v>
      </c>
      <c r="D1033" s="44">
        <v>2</v>
      </c>
      <c r="F1033" s="67" cm="1">
        <f t="array" ref="F1033">SUM(D1022:D1033/12)</f>
        <v>1.9721666666666671</v>
      </c>
      <c r="H1033" s="45">
        <v>2</v>
      </c>
    </row>
    <row r="1034" spans="1:8" x14ac:dyDescent="0.2">
      <c r="A1034" s="46" t="s">
        <v>811</v>
      </c>
      <c r="B1034" s="43"/>
      <c r="C1034" s="47">
        <f>SUM(C1022:C1033)</f>
        <v>272357.96999999997</v>
      </c>
      <c r="H1034" s="45"/>
    </row>
    <row r="1035" spans="1:8" x14ac:dyDescent="0.2">
      <c r="A1035" s="43">
        <v>821000</v>
      </c>
      <c r="B1035" s="43">
        <v>202101</v>
      </c>
      <c r="C1035" s="44">
        <v>90527.19</v>
      </c>
      <c r="D1035" s="44">
        <v>5.8</v>
      </c>
      <c r="H1035" s="45">
        <v>6</v>
      </c>
    </row>
    <row r="1036" spans="1:8" x14ac:dyDescent="0.2">
      <c r="A1036" s="43">
        <v>821000</v>
      </c>
      <c r="B1036" s="43">
        <v>202102</v>
      </c>
      <c r="C1036" s="44">
        <v>61276.07</v>
      </c>
      <c r="D1036" s="44">
        <v>4</v>
      </c>
      <c r="H1036" s="45">
        <v>4</v>
      </c>
    </row>
    <row r="1037" spans="1:8" x14ac:dyDescent="0.2">
      <c r="A1037" s="43">
        <v>821000</v>
      </c>
      <c r="B1037" s="43">
        <v>202103</v>
      </c>
      <c r="C1037" s="44">
        <v>59538.01</v>
      </c>
      <c r="D1037" s="44">
        <v>4</v>
      </c>
      <c r="H1037" s="45">
        <v>4</v>
      </c>
    </row>
    <row r="1038" spans="1:8" x14ac:dyDescent="0.2">
      <c r="A1038" s="43">
        <v>821000</v>
      </c>
      <c r="B1038" s="43">
        <v>202104</v>
      </c>
      <c r="C1038" s="44">
        <v>99835.92</v>
      </c>
      <c r="D1038" s="44">
        <v>6</v>
      </c>
      <c r="H1038" s="45">
        <v>6</v>
      </c>
    </row>
    <row r="1039" spans="1:8" x14ac:dyDescent="0.2">
      <c r="A1039" s="43">
        <v>821000</v>
      </c>
      <c r="B1039" s="43">
        <v>202105</v>
      </c>
      <c r="C1039" s="44">
        <v>92408.58</v>
      </c>
      <c r="D1039" s="44">
        <v>6</v>
      </c>
      <c r="H1039" s="45">
        <v>6</v>
      </c>
    </row>
    <row r="1040" spans="1:8" x14ac:dyDescent="0.2">
      <c r="A1040" s="43">
        <v>821000</v>
      </c>
      <c r="B1040" s="43">
        <v>202106</v>
      </c>
      <c r="C1040" s="44">
        <v>130360.76</v>
      </c>
      <c r="D1040" s="44">
        <v>6</v>
      </c>
      <c r="H1040" s="45">
        <v>6</v>
      </c>
    </row>
    <row r="1041" spans="1:8" x14ac:dyDescent="0.2">
      <c r="A1041" s="43">
        <v>821000</v>
      </c>
      <c r="B1041" s="43">
        <v>202107</v>
      </c>
      <c r="C1041" s="44">
        <v>104827.22</v>
      </c>
      <c r="D1041" s="44">
        <v>6</v>
      </c>
      <c r="H1041" s="45">
        <v>6</v>
      </c>
    </row>
    <row r="1042" spans="1:8" x14ac:dyDescent="0.2">
      <c r="A1042" s="43">
        <v>821000</v>
      </c>
      <c r="B1042" s="43">
        <v>202108</v>
      </c>
      <c r="C1042" s="44">
        <v>94000</v>
      </c>
      <c r="D1042" s="44">
        <v>6</v>
      </c>
      <c r="H1042" s="45">
        <v>6</v>
      </c>
    </row>
    <row r="1043" spans="1:8" x14ac:dyDescent="0.2">
      <c r="A1043" s="43">
        <v>821000</v>
      </c>
      <c r="B1043" s="43">
        <v>202109</v>
      </c>
      <c r="C1043" s="44">
        <f>94000+5500</f>
        <v>99500</v>
      </c>
      <c r="D1043" s="44">
        <v>6</v>
      </c>
      <c r="H1043" s="45">
        <v>6</v>
      </c>
    </row>
    <row r="1044" spans="1:8" x14ac:dyDescent="0.2">
      <c r="A1044" s="43">
        <v>821000</v>
      </c>
      <c r="B1044" s="43">
        <v>202110</v>
      </c>
      <c r="C1044" s="44">
        <v>94000</v>
      </c>
      <c r="D1044" s="44">
        <v>6</v>
      </c>
      <c r="H1044" s="45">
        <v>6</v>
      </c>
    </row>
    <row r="1045" spans="1:8" x14ac:dyDescent="0.2">
      <c r="A1045" s="43">
        <v>821000</v>
      </c>
      <c r="B1045" s="43">
        <v>202111</v>
      </c>
      <c r="C1045" s="44">
        <v>94000</v>
      </c>
      <c r="D1045" s="44">
        <v>6</v>
      </c>
      <c r="H1045" s="45">
        <v>6</v>
      </c>
    </row>
    <row r="1046" spans="1:8" x14ac:dyDescent="0.2">
      <c r="A1046" s="43">
        <v>821000</v>
      </c>
      <c r="B1046" s="43">
        <v>202112</v>
      </c>
      <c r="C1046" s="44">
        <v>94000</v>
      </c>
      <c r="D1046" s="44">
        <v>6</v>
      </c>
      <c r="F1046" s="67" cm="1">
        <f t="array" ref="F1046">SUM(D1035:D1046/12)</f>
        <v>5.65</v>
      </c>
      <c r="H1046" s="45">
        <v>6</v>
      </c>
    </row>
    <row r="1047" spans="1:8" x14ac:dyDescent="0.2">
      <c r="A1047" s="46" t="s">
        <v>812</v>
      </c>
      <c r="B1047" s="43"/>
      <c r="C1047" s="47">
        <f>SUM(C1035:C1046)</f>
        <v>1114273.75</v>
      </c>
      <c r="H1047" s="45"/>
    </row>
    <row r="1048" spans="1:8" x14ac:dyDescent="0.2">
      <c r="A1048" s="43">
        <v>823000</v>
      </c>
      <c r="B1048" s="43">
        <v>202101</v>
      </c>
      <c r="C1048" s="44">
        <v>96008.76</v>
      </c>
      <c r="D1048" s="44">
        <v>8.4350000000000005</v>
      </c>
      <c r="H1048" s="45">
        <v>10</v>
      </c>
    </row>
    <row r="1049" spans="1:8" x14ac:dyDescent="0.2">
      <c r="A1049" s="43">
        <v>823000</v>
      </c>
      <c r="B1049" s="43">
        <v>202102</v>
      </c>
      <c r="C1049" s="44">
        <v>143974.51999999999</v>
      </c>
      <c r="D1049" s="44">
        <v>8.1129999999999995</v>
      </c>
      <c r="H1049" s="45">
        <v>10</v>
      </c>
    </row>
    <row r="1050" spans="1:8" x14ac:dyDescent="0.2">
      <c r="A1050" s="43">
        <v>823000</v>
      </c>
      <c r="B1050" s="43">
        <v>202103</v>
      </c>
      <c r="C1050" s="44">
        <v>92181.81</v>
      </c>
      <c r="D1050" s="44">
        <v>7.835</v>
      </c>
      <c r="H1050" s="45">
        <v>9</v>
      </c>
    </row>
    <row r="1051" spans="1:8" x14ac:dyDescent="0.2">
      <c r="A1051" s="43">
        <v>823000</v>
      </c>
      <c r="B1051" s="43">
        <v>202104</v>
      </c>
      <c r="C1051" s="44">
        <v>92083.49</v>
      </c>
      <c r="D1051" s="44">
        <v>7.835</v>
      </c>
      <c r="H1051" s="45">
        <v>9</v>
      </c>
    </row>
    <row r="1052" spans="1:8" x14ac:dyDescent="0.2">
      <c r="A1052" s="43">
        <v>823000</v>
      </c>
      <c r="B1052" s="43">
        <v>202105</v>
      </c>
      <c r="C1052" s="44">
        <v>96968.24</v>
      </c>
      <c r="D1052" s="44">
        <v>7.835</v>
      </c>
      <c r="H1052" s="45">
        <v>9</v>
      </c>
    </row>
    <row r="1053" spans="1:8" x14ac:dyDescent="0.2">
      <c r="A1053" s="43">
        <v>823000</v>
      </c>
      <c r="B1053" s="43">
        <v>202106</v>
      </c>
      <c r="C1053" s="44">
        <v>194749.89</v>
      </c>
      <c r="D1053" s="44">
        <v>6.835</v>
      </c>
      <c r="H1053" s="45">
        <v>9</v>
      </c>
    </row>
    <row r="1054" spans="1:8" x14ac:dyDescent="0.2">
      <c r="A1054" s="43">
        <v>823000</v>
      </c>
      <c r="B1054" s="43">
        <v>202107</v>
      </c>
      <c r="C1054" s="44">
        <v>101953.35</v>
      </c>
      <c r="D1054" s="44">
        <v>6.835</v>
      </c>
      <c r="H1054" s="45">
        <v>8</v>
      </c>
    </row>
    <row r="1055" spans="1:8" x14ac:dyDescent="0.2">
      <c r="A1055" s="43">
        <v>823000</v>
      </c>
      <c r="B1055" s="43">
        <v>202108</v>
      </c>
      <c r="C1055" s="44">
        <v>97000</v>
      </c>
      <c r="D1055" s="44">
        <v>6.835</v>
      </c>
      <c r="H1055" s="45">
        <v>8</v>
      </c>
    </row>
    <row r="1056" spans="1:8" x14ac:dyDescent="0.2">
      <c r="A1056" s="43">
        <v>823000</v>
      </c>
      <c r="B1056" s="43">
        <v>202109</v>
      </c>
      <c r="C1056" s="44">
        <f>97000+13500</f>
        <v>110500</v>
      </c>
      <c r="D1056" s="44">
        <v>6.835</v>
      </c>
      <c r="H1056" s="45">
        <v>8</v>
      </c>
    </row>
    <row r="1057" spans="1:8" x14ac:dyDescent="0.2">
      <c r="A1057" s="43">
        <v>823000</v>
      </c>
      <c r="B1057" s="43">
        <v>202110</v>
      </c>
      <c r="C1057" s="44">
        <v>97000</v>
      </c>
      <c r="D1057" s="44">
        <v>6.835</v>
      </c>
      <c r="H1057" s="45">
        <v>8</v>
      </c>
    </row>
    <row r="1058" spans="1:8" x14ac:dyDescent="0.2">
      <c r="A1058" s="43">
        <v>823000</v>
      </c>
      <c r="B1058" s="43">
        <v>202111</v>
      </c>
      <c r="C1058" s="44">
        <v>97000</v>
      </c>
      <c r="D1058" s="44">
        <v>6.835</v>
      </c>
      <c r="H1058" s="45">
        <v>8</v>
      </c>
    </row>
    <row r="1059" spans="1:8" x14ac:dyDescent="0.2">
      <c r="A1059" s="43">
        <v>823000</v>
      </c>
      <c r="B1059" s="43">
        <v>202112</v>
      </c>
      <c r="C1059" s="44">
        <v>97000</v>
      </c>
      <c r="D1059" s="44">
        <v>6.835</v>
      </c>
      <c r="F1059" s="67" cm="1">
        <f t="array" ref="F1059">SUM(D1048:D1059/12)</f>
        <v>7.3248333333333315</v>
      </c>
      <c r="H1059" s="45">
        <v>8</v>
      </c>
    </row>
    <row r="1060" spans="1:8" x14ac:dyDescent="0.2">
      <c r="A1060" s="46" t="s">
        <v>813</v>
      </c>
      <c r="B1060" s="43"/>
      <c r="C1060" s="47">
        <f>SUM(C1048:C1059)</f>
        <v>1316420.06</v>
      </c>
      <c r="H1060" s="45"/>
    </row>
    <row r="1061" spans="1:8" x14ac:dyDescent="0.2">
      <c r="A1061" s="43">
        <v>824000</v>
      </c>
      <c r="B1061" s="43">
        <v>202101</v>
      </c>
      <c r="C1061" s="44">
        <v>2927.09</v>
      </c>
      <c r="H1061" s="45">
        <v>1</v>
      </c>
    </row>
    <row r="1062" spans="1:8" x14ac:dyDescent="0.2">
      <c r="A1062" s="43">
        <v>824000</v>
      </c>
      <c r="B1062" s="43">
        <v>202102</v>
      </c>
      <c r="C1062" s="44">
        <v>2779.34</v>
      </c>
      <c r="H1062" s="45">
        <v>1</v>
      </c>
    </row>
    <row r="1063" spans="1:8" x14ac:dyDescent="0.2">
      <c r="A1063" s="43">
        <v>824000</v>
      </c>
      <c r="B1063" s="43">
        <v>202103</v>
      </c>
      <c r="C1063" s="44">
        <v>2882.86</v>
      </c>
      <c r="H1063" s="45">
        <v>1</v>
      </c>
    </row>
    <row r="1064" spans="1:8" x14ac:dyDescent="0.2">
      <c r="A1064" s="43">
        <v>824000</v>
      </c>
      <c r="B1064" s="43">
        <v>202104</v>
      </c>
      <c r="C1064" s="44">
        <v>3658.86</v>
      </c>
      <c r="H1064" s="45">
        <v>1</v>
      </c>
    </row>
    <row r="1065" spans="1:8" x14ac:dyDescent="0.2">
      <c r="A1065" s="43">
        <v>824000</v>
      </c>
      <c r="B1065" s="43">
        <v>202105</v>
      </c>
      <c r="C1065" s="44">
        <v>5164.88</v>
      </c>
      <c r="H1065" s="45">
        <v>1</v>
      </c>
    </row>
    <row r="1066" spans="1:8" x14ac:dyDescent="0.2">
      <c r="A1066" s="43">
        <v>824000</v>
      </c>
      <c r="B1066" s="43">
        <v>202106</v>
      </c>
      <c r="C1066" s="44">
        <v>4872.4399999999996</v>
      </c>
      <c r="H1066" s="45">
        <v>1</v>
      </c>
    </row>
    <row r="1067" spans="1:8" x14ac:dyDescent="0.2">
      <c r="A1067" s="43">
        <v>824000</v>
      </c>
      <c r="B1067" s="43">
        <v>202107</v>
      </c>
      <c r="C1067" s="44">
        <v>3062.74</v>
      </c>
      <c r="H1067" s="45">
        <v>1</v>
      </c>
    </row>
    <row r="1068" spans="1:8" x14ac:dyDescent="0.2">
      <c r="A1068" s="43">
        <v>824000</v>
      </c>
      <c r="B1068" s="43">
        <v>202108</v>
      </c>
      <c r="C1068" s="44">
        <v>3000</v>
      </c>
      <c r="H1068" s="45">
        <v>1</v>
      </c>
    </row>
    <row r="1069" spans="1:8" x14ac:dyDescent="0.2">
      <c r="A1069" s="43">
        <v>824000</v>
      </c>
      <c r="B1069" s="43">
        <v>202109</v>
      </c>
      <c r="C1069" s="44">
        <v>3000</v>
      </c>
      <c r="H1069" s="45">
        <v>1</v>
      </c>
    </row>
    <row r="1070" spans="1:8" x14ac:dyDescent="0.2">
      <c r="A1070" s="43">
        <v>824000</v>
      </c>
      <c r="B1070" s="43">
        <v>202110</v>
      </c>
      <c r="C1070" s="44">
        <v>3000</v>
      </c>
      <c r="H1070" s="45">
        <v>1</v>
      </c>
    </row>
    <row r="1071" spans="1:8" x14ac:dyDescent="0.2">
      <c r="A1071" s="43">
        <v>824000</v>
      </c>
      <c r="B1071" s="43">
        <v>202111</v>
      </c>
      <c r="C1071" s="44">
        <v>3000</v>
      </c>
      <c r="H1071" s="45">
        <v>1</v>
      </c>
    </row>
    <row r="1072" spans="1:8" x14ac:dyDescent="0.2">
      <c r="A1072" s="43">
        <v>824000</v>
      </c>
      <c r="B1072" s="43">
        <v>202112</v>
      </c>
      <c r="C1072" s="44">
        <v>3000</v>
      </c>
      <c r="F1072" s="67" cm="1">
        <f t="array" ref="F1072">SUM(D1061:D1072/12)</f>
        <v>0</v>
      </c>
      <c r="H1072" s="45">
        <v>1</v>
      </c>
    </row>
    <row r="1073" spans="1:8" x14ac:dyDescent="0.2">
      <c r="A1073" s="46" t="s">
        <v>814</v>
      </c>
      <c r="B1073" s="43"/>
      <c r="C1073" s="47">
        <f>SUM(C1061:C1072)</f>
        <v>40348.21</v>
      </c>
      <c r="H1073" s="45"/>
    </row>
    <row r="1074" spans="1:8" x14ac:dyDescent="0.2">
      <c r="A1074" s="43">
        <v>825000</v>
      </c>
      <c r="B1074" s="43">
        <v>202101</v>
      </c>
      <c r="C1074" s="44">
        <v>41184.800000000003</v>
      </c>
      <c r="D1074" s="44">
        <v>3</v>
      </c>
      <c r="H1074" s="45">
        <v>3</v>
      </c>
    </row>
    <row r="1075" spans="1:8" x14ac:dyDescent="0.2">
      <c r="A1075" s="43">
        <v>825000</v>
      </c>
      <c r="B1075" s="43">
        <v>202102</v>
      </c>
      <c r="C1075" s="44">
        <v>39628.769999999997</v>
      </c>
      <c r="D1075" s="44">
        <v>3</v>
      </c>
      <c r="H1075" s="45">
        <v>3</v>
      </c>
    </row>
    <row r="1076" spans="1:8" x14ac:dyDescent="0.2">
      <c r="A1076" s="43">
        <v>825000</v>
      </c>
      <c r="B1076" s="43">
        <v>202103</v>
      </c>
      <c r="C1076" s="44">
        <v>44874.33</v>
      </c>
      <c r="D1076" s="44">
        <v>3</v>
      </c>
      <c r="H1076" s="45">
        <v>3</v>
      </c>
    </row>
    <row r="1077" spans="1:8" x14ac:dyDescent="0.2">
      <c r="A1077" s="43">
        <v>825000</v>
      </c>
      <c r="B1077" s="43">
        <v>202104</v>
      </c>
      <c r="C1077" s="44">
        <v>41379.050000000003</v>
      </c>
      <c r="D1077" s="44">
        <v>3</v>
      </c>
      <c r="H1077" s="45">
        <v>3</v>
      </c>
    </row>
    <row r="1078" spans="1:8" x14ac:dyDescent="0.2">
      <c r="A1078" s="43">
        <v>825000</v>
      </c>
      <c r="B1078" s="43">
        <v>202105</v>
      </c>
      <c r="C1078" s="44">
        <v>51951.24</v>
      </c>
      <c r="D1078" s="44">
        <v>3</v>
      </c>
      <c r="H1078" s="45">
        <v>3</v>
      </c>
    </row>
    <row r="1079" spans="1:8" x14ac:dyDescent="0.2">
      <c r="A1079" s="43">
        <v>825000</v>
      </c>
      <c r="B1079" s="43">
        <v>202106</v>
      </c>
      <c r="C1079" s="44">
        <v>68221.039999999994</v>
      </c>
      <c r="D1079" s="44">
        <v>3</v>
      </c>
      <c r="H1079" s="45">
        <v>3</v>
      </c>
    </row>
    <row r="1080" spans="1:8" x14ac:dyDescent="0.2">
      <c r="A1080" s="43">
        <v>825000</v>
      </c>
      <c r="B1080" s="43">
        <v>202107</v>
      </c>
      <c r="C1080" s="44">
        <v>48699.15</v>
      </c>
      <c r="D1080" s="44">
        <v>3</v>
      </c>
      <c r="H1080" s="45">
        <v>3</v>
      </c>
    </row>
    <row r="1081" spans="1:8" x14ac:dyDescent="0.2">
      <c r="A1081" s="43">
        <v>825000</v>
      </c>
      <c r="B1081" s="43">
        <v>202108</v>
      </c>
      <c r="C1081" s="44">
        <v>52000</v>
      </c>
      <c r="D1081" s="44">
        <v>3</v>
      </c>
      <c r="H1081" s="45">
        <v>3</v>
      </c>
    </row>
    <row r="1082" spans="1:8" x14ac:dyDescent="0.2">
      <c r="A1082" s="43">
        <v>825000</v>
      </c>
      <c r="B1082" s="43">
        <v>202109</v>
      </c>
      <c r="C1082" s="44">
        <v>52000</v>
      </c>
      <c r="D1082" s="44">
        <v>3</v>
      </c>
      <c r="H1082" s="45">
        <v>3</v>
      </c>
    </row>
    <row r="1083" spans="1:8" x14ac:dyDescent="0.2">
      <c r="A1083" s="43">
        <v>825000</v>
      </c>
      <c r="B1083" s="43">
        <v>202110</v>
      </c>
      <c r="C1083" s="44">
        <v>52000</v>
      </c>
      <c r="D1083" s="44">
        <v>3</v>
      </c>
      <c r="H1083" s="45">
        <v>3</v>
      </c>
    </row>
    <row r="1084" spans="1:8" x14ac:dyDescent="0.2">
      <c r="A1084" s="43">
        <v>825000</v>
      </c>
      <c r="B1084" s="43">
        <v>202111</v>
      </c>
      <c r="C1084" s="44">
        <v>52000</v>
      </c>
      <c r="D1084" s="44">
        <v>3</v>
      </c>
      <c r="H1084" s="45">
        <v>3</v>
      </c>
    </row>
    <row r="1085" spans="1:8" x14ac:dyDescent="0.2">
      <c r="A1085" s="43">
        <v>825000</v>
      </c>
      <c r="B1085" s="43">
        <v>202112</v>
      </c>
      <c r="C1085" s="44">
        <v>52000</v>
      </c>
      <c r="D1085" s="44">
        <v>3</v>
      </c>
      <c r="F1085" s="67" cm="1">
        <f t="array" ref="F1085">SUM(D1074:D1085/12)</f>
        <v>3</v>
      </c>
      <c r="H1085" s="45">
        <v>3</v>
      </c>
    </row>
    <row r="1086" spans="1:8" x14ac:dyDescent="0.2">
      <c r="A1086" s="46" t="s">
        <v>815</v>
      </c>
      <c r="B1086" s="43"/>
      <c r="C1086" s="47">
        <f>SUM(C1074:C1085)</f>
        <v>595938.38</v>
      </c>
      <c r="H1086" s="45"/>
    </row>
    <row r="1087" spans="1:8" x14ac:dyDescent="0.2">
      <c r="A1087" s="43">
        <v>829200</v>
      </c>
      <c r="B1087" s="43">
        <v>202101</v>
      </c>
      <c r="C1087" s="44">
        <v>80697.59</v>
      </c>
      <c r="D1087" s="44">
        <v>7.6</v>
      </c>
      <c r="H1087" s="45">
        <v>8</v>
      </c>
    </row>
    <row r="1088" spans="1:8" x14ac:dyDescent="0.2">
      <c r="A1088" s="43">
        <v>829200</v>
      </c>
      <c r="B1088" s="43">
        <v>202102</v>
      </c>
      <c r="C1088" s="44">
        <v>82906.8</v>
      </c>
      <c r="D1088" s="44">
        <v>7.6</v>
      </c>
      <c r="H1088" s="45">
        <v>8</v>
      </c>
    </row>
    <row r="1089" spans="1:8" x14ac:dyDescent="0.2">
      <c r="A1089" s="43">
        <v>829200</v>
      </c>
      <c r="B1089" s="43">
        <v>202103</v>
      </c>
      <c r="C1089" s="44">
        <v>84469.81</v>
      </c>
      <c r="D1089" s="44">
        <v>7.6</v>
      </c>
      <c r="H1089" s="45">
        <v>8</v>
      </c>
    </row>
    <row r="1090" spans="1:8" x14ac:dyDescent="0.2">
      <c r="A1090" s="43">
        <v>829200</v>
      </c>
      <c r="B1090" s="43">
        <v>202104</v>
      </c>
      <c r="C1090" s="44">
        <v>71884.91</v>
      </c>
      <c r="D1090" s="44">
        <v>6.6</v>
      </c>
      <c r="H1090" s="45">
        <v>7</v>
      </c>
    </row>
    <row r="1091" spans="1:8" x14ac:dyDescent="0.2">
      <c r="A1091" s="43">
        <v>829200</v>
      </c>
      <c r="B1091" s="43">
        <v>202105</v>
      </c>
      <c r="C1091" s="44">
        <v>76912.23</v>
      </c>
      <c r="D1091" s="44">
        <v>6.6</v>
      </c>
      <c r="H1091" s="45">
        <v>7</v>
      </c>
    </row>
    <row r="1092" spans="1:8" x14ac:dyDescent="0.2">
      <c r="A1092" s="43">
        <v>829200</v>
      </c>
      <c r="B1092" s="43">
        <v>202106</v>
      </c>
      <c r="C1092" s="44">
        <v>110953.32</v>
      </c>
      <c r="D1092" s="44">
        <v>6.6</v>
      </c>
      <c r="H1092" s="45">
        <v>7</v>
      </c>
    </row>
    <row r="1093" spans="1:8" x14ac:dyDescent="0.2">
      <c r="A1093" s="43">
        <v>829200</v>
      </c>
      <c r="B1093" s="43">
        <v>202107</v>
      </c>
      <c r="C1093" s="44">
        <v>87467.58</v>
      </c>
      <c r="D1093" s="44">
        <v>6.6</v>
      </c>
      <c r="H1093" s="45">
        <v>7</v>
      </c>
    </row>
    <row r="1094" spans="1:8" x14ac:dyDescent="0.2">
      <c r="A1094" s="43">
        <v>829200</v>
      </c>
      <c r="B1094" s="43">
        <v>202108</v>
      </c>
      <c r="C1094" s="44">
        <v>77000</v>
      </c>
      <c r="D1094" s="44">
        <v>6.6</v>
      </c>
      <c r="H1094" s="45">
        <v>7</v>
      </c>
    </row>
    <row r="1095" spans="1:8" x14ac:dyDescent="0.2">
      <c r="A1095" s="43">
        <v>829200</v>
      </c>
      <c r="B1095" s="43">
        <v>202109</v>
      </c>
      <c r="C1095" s="44">
        <v>77000</v>
      </c>
      <c r="D1095" s="44">
        <v>6.6</v>
      </c>
      <c r="H1095" s="45">
        <v>7</v>
      </c>
    </row>
    <row r="1096" spans="1:8" x14ac:dyDescent="0.2">
      <c r="A1096" s="43">
        <v>829200</v>
      </c>
      <c r="B1096" s="43">
        <v>202110</v>
      </c>
      <c r="C1096" s="44">
        <v>77000</v>
      </c>
      <c r="D1096" s="44">
        <v>6.6</v>
      </c>
      <c r="H1096" s="45">
        <v>7</v>
      </c>
    </row>
    <row r="1097" spans="1:8" x14ac:dyDescent="0.2">
      <c r="A1097" s="43">
        <v>829200</v>
      </c>
      <c r="B1097" s="43">
        <v>202111</v>
      </c>
      <c r="C1097" s="44">
        <v>77000</v>
      </c>
      <c r="D1097" s="44">
        <v>6.6</v>
      </c>
      <c r="H1097" s="45">
        <v>7</v>
      </c>
    </row>
    <row r="1098" spans="1:8" x14ac:dyDescent="0.2">
      <c r="A1098" s="43">
        <v>829200</v>
      </c>
      <c r="B1098" s="43">
        <v>202112</v>
      </c>
      <c r="C1098" s="44">
        <v>77000</v>
      </c>
      <c r="D1098" s="44">
        <v>6.6</v>
      </c>
      <c r="F1098" s="67" cm="1">
        <f t="array" ref="F1098">SUM(D1087:D1098/12)</f>
        <v>6.8499999999999988</v>
      </c>
      <c r="H1098" s="45">
        <v>7</v>
      </c>
    </row>
    <row r="1099" spans="1:8" x14ac:dyDescent="0.2">
      <c r="A1099" s="46" t="s">
        <v>816</v>
      </c>
      <c r="B1099" s="43"/>
      <c r="C1099" s="47">
        <f>SUM(C1087:C1098)</f>
        <v>980292.24</v>
      </c>
      <c r="H1099" s="45"/>
    </row>
    <row r="1100" spans="1:8" x14ac:dyDescent="0.2">
      <c r="A1100" s="49">
        <v>841000</v>
      </c>
      <c r="B1100" s="43">
        <v>202101</v>
      </c>
      <c r="C1100" s="44">
        <v>1190484.3500000001</v>
      </c>
      <c r="D1100" s="44">
        <v>65.795000000000002</v>
      </c>
      <c r="H1100" s="45">
        <v>78</v>
      </c>
    </row>
    <row r="1101" spans="1:8" x14ac:dyDescent="0.2">
      <c r="A1101" s="43">
        <v>841000</v>
      </c>
      <c r="B1101" s="43">
        <v>202102</v>
      </c>
      <c r="C1101" s="44">
        <v>1016500.05</v>
      </c>
      <c r="D1101" s="44">
        <v>66.314999999999998</v>
      </c>
      <c r="H1101" s="45">
        <v>77</v>
      </c>
    </row>
    <row r="1102" spans="1:8" x14ac:dyDescent="0.2">
      <c r="A1102" s="43">
        <v>841000</v>
      </c>
      <c r="B1102" s="43">
        <v>202103</v>
      </c>
      <c r="C1102" s="44">
        <v>995994.85</v>
      </c>
      <c r="D1102" s="44">
        <v>67.314999999999998</v>
      </c>
      <c r="H1102" s="45">
        <v>78</v>
      </c>
    </row>
    <row r="1103" spans="1:8" x14ac:dyDescent="0.2">
      <c r="A1103" s="43">
        <v>841000</v>
      </c>
      <c r="B1103" s="43">
        <v>202104</v>
      </c>
      <c r="C1103" s="44">
        <v>991658.22</v>
      </c>
      <c r="D1103" s="44">
        <v>66.287999999999997</v>
      </c>
      <c r="H1103" s="45">
        <v>77</v>
      </c>
    </row>
    <row r="1104" spans="1:8" x14ac:dyDescent="0.2">
      <c r="A1104" s="43">
        <v>841000</v>
      </c>
      <c r="B1104" s="43">
        <v>202105</v>
      </c>
      <c r="C1104" s="44">
        <v>1012538.04</v>
      </c>
      <c r="D1104" s="44">
        <v>63.792999999999999</v>
      </c>
      <c r="H1104" s="45">
        <v>77</v>
      </c>
    </row>
    <row r="1105" spans="1:8" x14ac:dyDescent="0.2">
      <c r="A1105" s="43">
        <v>841000</v>
      </c>
      <c r="B1105" s="43">
        <v>202106</v>
      </c>
      <c r="C1105" s="44">
        <v>1397793.28</v>
      </c>
      <c r="D1105" s="44">
        <v>63.534999999999997</v>
      </c>
      <c r="H1105" s="45">
        <v>78</v>
      </c>
    </row>
    <row r="1106" spans="1:8" x14ac:dyDescent="0.2">
      <c r="A1106" s="43">
        <v>841000</v>
      </c>
      <c r="B1106" s="43">
        <v>202107</v>
      </c>
      <c r="C1106" s="44">
        <v>1151545.47</v>
      </c>
      <c r="D1106" s="44">
        <v>64.213999999999999</v>
      </c>
      <c r="H1106" s="45">
        <v>80</v>
      </c>
    </row>
    <row r="1107" spans="1:8" x14ac:dyDescent="0.2">
      <c r="A1107" s="43">
        <v>841000</v>
      </c>
      <c r="B1107" s="43">
        <v>202108</v>
      </c>
      <c r="C1107" s="44">
        <v>996000</v>
      </c>
      <c r="D1107" s="44">
        <v>64.213999999999999</v>
      </c>
      <c r="H1107" s="45">
        <v>80</v>
      </c>
    </row>
    <row r="1108" spans="1:8" x14ac:dyDescent="0.2">
      <c r="A1108" s="43">
        <v>841000</v>
      </c>
      <c r="B1108" s="43">
        <v>202109</v>
      </c>
      <c r="C1108" s="44">
        <f>996000+120000</f>
        <v>1116000</v>
      </c>
      <c r="D1108" s="44">
        <v>64.213999999999999</v>
      </c>
      <c r="H1108" s="45">
        <v>80</v>
      </c>
    </row>
    <row r="1109" spans="1:8" x14ac:dyDescent="0.2">
      <c r="A1109" s="43">
        <v>841000</v>
      </c>
      <c r="B1109" s="43">
        <v>202110</v>
      </c>
      <c r="C1109" s="44">
        <v>996000</v>
      </c>
      <c r="D1109" s="44">
        <v>64.213999999999999</v>
      </c>
      <c r="H1109" s="45">
        <v>80</v>
      </c>
    </row>
    <row r="1110" spans="1:8" x14ac:dyDescent="0.2">
      <c r="A1110" s="43">
        <v>841000</v>
      </c>
      <c r="B1110" s="43">
        <v>202111</v>
      </c>
      <c r="C1110" s="44">
        <v>996000</v>
      </c>
      <c r="D1110" s="44">
        <v>64.213999999999999</v>
      </c>
      <c r="H1110" s="45">
        <v>80</v>
      </c>
    </row>
    <row r="1111" spans="1:8" x14ac:dyDescent="0.2">
      <c r="A1111" s="43">
        <v>841000</v>
      </c>
      <c r="B1111" s="43">
        <v>202112</v>
      </c>
      <c r="C1111" s="44">
        <v>996000</v>
      </c>
      <c r="D1111" s="44">
        <v>64.213999999999999</v>
      </c>
      <c r="F1111" s="67" cm="1">
        <f t="array" ref="F1111">SUM(D1100:D1111/12)</f>
        <v>64.860416666666652</v>
      </c>
      <c r="H1111" s="45">
        <v>80</v>
      </c>
    </row>
    <row r="1112" spans="1:8" x14ac:dyDescent="0.2">
      <c r="A1112" s="46" t="s">
        <v>817</v>
      </c>
      <c r="B1112" s="43"/>
      <c r="C1112" s="47">
        <f>SUM(C1100:C1111)</f>
        <v>12856514.260000002</v>
      </c>
      <c r="H1112" s="45"/>
    </row>
    <row r="1113" spans="1:8" x14ac:dyDescent="0.2">
      <c r="A1113" s="43">
        <v>869000</v>
      </c>
      <c r="B1113" s="43">
        <v>202101</v>
      </c>
      <c r="C1113" s="44">
        <v>188484.14</v>
      </c>
      <c r="D1113" s="44">
        <v>10.6</v>
      </c>
      <c r="H1113" s="45">
        <v>13</v>
      </c>
    </row>
    <row r="1114" spans="1:8" x14ac:dyDescent="0.2">
      <c r="A1114" s="43">
        <v>869000</v>
      </c>
      <c r="B1114" s="43">
        <v>202102</v>
      </c>
      <c r="C1114" s="44">
        <v>161787.78</v>
      </c>
      <c r="D1114" s="44">
        <v>10.6</v>
      </c>
      <c r="H1114" s="45">
        <v>13</v>
      </c>
    </row>
    <row r="1115" spans="1:8" x14ac:dyDescent="0.2">
      <c r="A1115" s="43">
        <v>869000</v>
      </c>
      <c r="B1115" s="43">
        <v>202103</v>
      </c>
      <c r="C1115" s="44">
        <v>153625.56</v>
      </c>
      <c r="D1115" s="44">
        <v>10.6</v>
      </c>
      <c r="H1115" s="45">
        <v>13</v>
      </c>
    </row>
    <row r="1116" spans="1:8" x14ac:dyDescent="0.2">
      <c r="A1116" s="43">
        <v>869000</v>
      </c>
      <c r="B1116" s="43">
        <v>202104</v>
      </c>
      <c r="C1116" s="44">
        <v>153662.98000000001</v>
      </c>
      <c r="D1116" s="44">
        <v>10.6</v>
      </c>
      <c r="H1116" s="45">
        <v>13</v>
      </c>
    </row>
    <row r="1117" spans="1:8" x14ac:dyDescent="0.2">
      <c r="A1117" s="43">
        <v>869000</v>
      </c>
      <c r="B1117" s="43">
        <v>202105</v>
      </c>
      <c r="C1117" s="44">
        <v>151494.98000000001</v>
      </c>
      <c r="D1117" s="44">
        <v>10.6</v>
      </c>
      <c r="H1117" s="45">
        <v>11</v>
      </c>
    </row>
    <row r="1118" spans="1:8" x14ac:dyDescent="0.2">
      <c r="A1118" s="43">
        <v>869000</v>
      </c>
      <c r="B1118" s="43">
        <v>202106</v>
      </c>
      <c r="C1118" s="44">
        <v>195653.04</v>
      </c>
      <c r="D1118" s="44">
        <v>9.6</v>
      </c>
      <c r="H1118" s="45">
        <v>11</v>
      </c>
    </row>
    <row r="1119" spans="1:8" x14ac:dyDescent="0.2">
      <c r="A1119" s="43">
        <v>869000</v>
      </c>
      <c r="B1119" s="43">
        <v>202107</v>
      </c>
      <c r="C1119" s="44">
        <v>154866.26</v>
      </c>
      <c r="D1119" s="44">
        <v>9.6</v>
      </c>
      <c r="H1119" s="45">
        <v>11</v>
      </c>
    </row>
    <row r="1120" spans="1:8" x14ac:dyDescent="0.2">
      <c r="A1120" s="43">
        <v>869000</v>
      </c>
      <c r="B1120" s="43">
        <v>202108</v>
      </c>
      <c r="C1120" s="44">
        <v>152000</v>
      </c>
      <c r="D1120" s="44">
        <v>9.6</v>
      </c>
      <c r="H1120" s="45">
        <v>11</v>
      </c>
    </row>
    <row r="1121" spans="1:8" x14ac:dyDescent="0.2">
      <c r="A1121" s="43">
        <v>869000</v>
      </c>
      <c r="B1121" s="43">
        <v>202109</v>
      </c>
      <c r="C1121" s="44">
        <f>152000+21000</f>
        <v>173000</v>
      </c>
      <c r="D1121" s="44">
        <v>9.6</v>
      </c>
      <c r="H1121" s="45">
        <v>11</v>
      </c>
    </row>
    <row r="1122" spans="1:8" x14ac:dyDescent="0.2">
      <c r="A1122" s="43">
        <v>869000</v>
      </c>
      <c r="B1122" s="43">
        <v>202110</v>
      </c>
      <c r="C1122" s="44">
        <v>152000</v>
      </c>
      <c r="D1122" s="44">
        <v>9.6</v>
      </c>
      <c r="H1122" s="45">
        <v>11</v>
      </c>
    </row>
    <row r="1123" spans="1:8" x14ac:dyDescent="0.2">
      <c r="A1123" s="43">
        <v>869000</v>
      </c>
      <c r="B1123" s="43">
        <v>202111</v>
      </c>
      <c r="C1123" s="44">
        <v>152000</v>
      </c>
      <c r="D1123" s="44">
        <v>9.6</v>
      </c>
      <c r="H1123" s="45">
        <v>11</v>
      </c>
    </row>
    <row r="1124" spans="1:8" x14ac:dyDescent="0.2">
      <c r="A1124" s="43">
        <v>869000</v>
      </c>
      <c r="B1124" s="43">
        <v>202112</v>
      </c>
      <c r="C1124" s="44">
        <v>152000</v>
      </c>
      <c r="D1124" s="44">
        <v>9.6</v>
      </c>
      <c r="F1124" s="67" cm="1">
        <f t="array" ref="F1124">SUM(D1113:D1124/12)</f>
        <v>10.016666666666667</v>
      </c>
      <c r="H1124" s="45">
        <v>11</v>
      </c>
    </row>
    <row r="1125" spans="1:8" x14ac:dyDescent="0.2">
      <c r="A1125" s="46" t="s">
        <v>818</v>
      </c>
      <c r="B1125" s="43"/>
      <c r="C1125" s="47">
        <f>SUM(C1113:C1124)</f>
        <v>1940574.7400000002</v>
      </c>
      <c r="H1125" s="45"/>
    </row>
    <row r="1126" spans="1:8" x14ac:dyDescent="0.2">
      <c r="A1126" s="43">
        <v>869100</v>
      </c>
      <c r="B1126" s="43">
        <v>202101</v>
      </c>
      <c r="C1126" s="44">
        <v>64954.14</v>
      </c>
      <c r="D1126" s="44">
        <v>5.9349999999999996</v>
      </c>
      <c r="H1126" s="45">
        <v>6</v>
      </c>
    </row>
    <row r="1127" spans="1:8" x14ac:dyDescent="0.2">
      <c r="A1127" s="43">
        <v>869100</v>
      </c>
      <c r="B1127" s="43">
        <v>202102</v>
      </c>
      <c r="C1127" s="44">
        <v>61001.1</v>
      </c>
      <c r="D1127" s="44">
        <v>6</v>
      </c>
      <c r="H1127" s="45">
        <v>7</v>
      </c>
    </row>
    <row r="1128" spans="1:8" x14ac:dyDescent="0.2">
      <c r="A1128" s="43">
        <v>869100</v>
      </c>
      <c r="B1128" s="43">
        <v>202103</v>
      </c>
      <c r="C1128" s="44">
        <v>74490.64</v>
      </c>
      <c r="D1128" s="44">
        <v>6</v>
      </c>
      <c r="H1128" s="45">
        <v>7</v>
      </c>
    </row>
    <row r="1129" spans="1:8" x14ac:dyDescent="0.2">
      <c r="A1129" s="43">
        <v>869100</v>
      </c>
      <c r="B1129" s="43">
        <v>202104</v>
      </c>
      <c r="C1129" s="44">
        <v>51684.04</v>
      </c>
      <c r="D1129" s="44">
        <v>4</v>
      </c>
      <c r="H1129" s="45">
        <v>6</v>
      </c>
    </row>
    <row r="1130" spans="1:8" x14ac:dyDescent="0.2">
      <c r="A1130" s="43">
        <v>869100</v>
      </c>
      <c r="B1130" s="43">
        <v>202105</v>
      </c>
      <c r="C1130" s="44">
        <v>45859.98</v>
      </c>
      <c r="D1130" s="44">
        <v>4</v>
      </c>
      <c r="H1130" s="45">
        <v>4</v>
      </c>
    </row>
    <row r="1131" spans="1:8" x14ac:dyDescent="0.2">
      <c r="A1131" s="43">
        <v>869100</v>
      </c>
      <c r="B1131" s="43">
        <v>202106</v>
      </c>
      <c r="C1131" s="44">
        <v>66297.929999999993</v>
      </c>
      <c r="D1131" s="44">
        <v>4</v>
      </c>
      <c r="H1131" s="45">
        <v>5</v>
      </c>
    </row>
    <row r="1132" spans="1:8" x14ac:dyDescent="0.2">
      <c r="A1132" s="43">
        <v>869100</v>
      </c>
      <c r="B1132" s="43">
        <v>202107</v>
      </c>
      <c r="C1132" s="44">
        <v>52471.29</v>
      </c>
      <c r="D1132" s="44">
        <v>4</v>
      </c>
      <c r="H1132" s="45">
        <v>5</v>
      </c>
    </row>
    <row r="1133" spans="1:8" x14ac:dyDescent="0.2">
      <c r="A1133" s="43">
        <v>869100</v>
      </c>
      <c r="B1133" s="43">
        <v>202108</v>
      </c>
      <c r="C1133" s="44">
        <v>50000</v>
      </c>
      <c r="D1133" s="44">
        <v>4</v>
      </c>
      <c r="H1133" s="45">
        <v>5</v>
      </c>
    </row>
    <row r="1134" spans="1:8" x14ac:dyDescent="0.2">
      <c r="A1134" s="43">
        <v>869100</v>
      </c>
      <c r="B1134" s="43">
        <v>202109</v>
      </c>
      <c r="C1134" s="44">
        <f>50000+6000</f>
        <v>56000</v>
      </c>
      <c r="D1134" s="44">
        <v>4</v>
      </c>
      <c r="H1134" s="45">
        <v>5</v>
      </c>
    </row>
    <row r="1135" spans="1:8" x14ac:dyDescent="0.2">
      <c r="A1135" s="43">
        <v>869100</v>
      </c>
      <c r="B1135" s="43">
        <v>202110</v>
      </c>
      <c r="C1135" s="44">
        <v>50000</v>
      </c>
      <c r="D1135" s="44">
        <v>4</v>
      </c>
      <c r="H1135" s="45">
        <v>5</v>
      </c>
    </row>
    <row r="1136" spans="1:8" x14ac:dyDescent="0.2">
      <c r="A1136" s="43">
        <v>869100</v>
      </c>
      <c r="B1136" s="43">
        <v>202111</v>
      </c>
      <c r="C1136" s="44">
        <v>50000</v>
      </c>
      <c r="D1136" s="44">
        <v>4</v>
      </c>
      <c r="H1136" s="45">
        <v>5</v>
      </c>
    </row>
    <row r="1137" spans="1:8" x14ac:dyDescent="0.2">
      <c r="A1137" s="43">
        <v>869100</v>
      </c>
      <c r="B1137" s="43">
        <v>202112</v>
      </c>
      <c r="C1137" s="44">
        <v>50000</v>
      </c>
      <c r="D1137" s="44">
        <v>4</v>
      </c>
      <c r="F1137" s="67" cm="1">
        <f t="array" ref="F1137">SUM(D1126:D1137/12)</f>
        <v>4.4945833333333338</v>
      </c>
      <c r="H1137" s="45">
        <v>5</v>
      </c>
    </row>
    <row r="1138" spans="1:8" x14ac:dyDescent="0.2">
      <c r="A1138" s="46" t="s">
        <v>819</v>
      </c>
      <c r="B1138" s="43"/>
      <c r="C1138" s="47">
        <f>SUM(C1126:C1137)</f>
        <v>672759.12</v>
      </c>
      <c r="H1138" s="45"/>
    </row>
    <row r="1139" spans="1:8" x14ac:dyDescent="0.2">
      <c r="A1139" s="43">
        <v>879000</v>
      </c>
      <c r="B1139" s="43">
        <v>202101</v>
      </c>
      <c r="C1139" s="44">
        <v>69713.509999999995</v>
      </c>
      <c r="D1139" s="44">
        <v>4</v>
      </c>
      <c r="H1139" s="45">
        <v>5</v>
      </c>
    </row>
    <row r="1140" spans="1:8" x14ac:dyDescent="0.2">
      <c r="A1140" s="43">
        <v>879000</v>
      </c>
      <c r="B1140" s="43">
        <v>202102</v>
      </c>
      <c r="C1140" s="44">
        <v>72642.240000000005</v>
      </c>
      <c r="D1140" s="44">
        <v>4</v>
      </c>
      <c r="H1140" s="45">
        <v>5</v>
      </c>
    </row>
    <row r="1141" spans="1:8" x14ac:dyDescent="0.2">
      <c r="A1141" s="43">
        <v>879000</v>
      </c>
      <c r="B1141" s="43">
        <v>202103</v>
      </c>
      <c r="C1141" s="44">
        <v>71429.75</v>
      </c>
      <c r="D1141" s="44">
        <v>3</v>
      </c>
      <c r="H1141" s="45">
        <v>4</v>
      </c>
    </row>
    <row r="1142" spans="1:8" x14ac:dyDescent="0.2">
      <c r="A1142" s="43">
        <v>879000</v>
      </c>
      <c r="B1142" s="43">
        <v>202104</v>
      </c>
      <c r="C1142" s="44">
        <v>83381.61</v>
      </c>
      <c r="D1142" s="44">
        <v>5</v>
      </c>
      <c r="H1142" s="45">
        <v>5</v>
      </c>
    </row>
    <row r="1143" spans="1:8" x14ac:dyDescent="0.2">
      <c r="A1143" s="43">
        <v>879000</v>
      </c>
      <c r="B1143" s="43">
        <v>202105</v>
      </c>
      <c r="C1143" s="44">
        <v>80203.98</v>
      </c>
      <c r="D1143" s="44">
        <v>5</v>
      </c>
      <c r="H1143" s="45">
        <v>5</v>
      </c>
    </row>
    <row r="1144" spans="1:8" x14ac:dyDescent="0.2">
      <c r="A1144" s="43">
        <v>879000</v>
      </c>
      <c r="B1144" s="43">
        <v>202106</v>
      </c>
      <c r="C1144" s="44">
        <v>118820.73</v>
      </c>
      <c r="D1144" s="44">
        <v>5</v>
      </c>
      <c r="H1144" s="45">
        <v>5</v>
      </c>
    </row>
    <row r="1145" spans="1:8" x14ac:dyDescent="0.2">
      <c r="A1145" s="43">
        <v>879000</v>
      </c>
      <c r="B1145" s="43">
        <v>202107</v>
      </c>
      <c r="C1145" s="44">
        <v>86664.16</v>
      </c>
      <c r="D1145" s="44">
        <v>4</v>
      </c>
      <c r="H1145" s="45">
        <v>5</v>
      </c>
    </row>
    <row r="1146" spans="1:8" x14ac:dyDescent="0.2">
      <c r="A1146" s="43">
        <v>879000</v>
      </c>
      <c r="B1146" s="43">
        <v>202108</v>
      </c>
      <c r="C1146" s="44">
        <v>80000</v>
      </c>
      <c r="D1146" s="44">
        <v>4</v>
      </c>
      <c r="H1146" s="45">
        <v>5</v>
      </c>
    </row>
    <row r="1147" spans="1:8" x14ac:dyDescent="0.2">
      <c r="A1147" s="43">
        <v>879000</v>
      </c>
      <c r="B1147" s="43">
        <v>202109</v>
      </c>
      <c r="C1147" s="44">
        <v>80200</v>
      </c>
      <c r="D1147" s="44">
        <v>4</v>
      </c>
      <c r="H1147" s="45">
        <v>5</v>
      </c>
    </row>
    <row r="1148" spans="1:8" x14ac:dyDescent="0.2">
      <c r="A1148" s="43">
        <v>879000</v>
      </c>
      <c r="B1148" s="43">
        <v>202110</v>
      </c>
      <c r="C1148" s="44">
        <v>80200</v>
      </c>
      <c r="D1148" s="44">
        <v>4</v>
      </c>
      <c r="H1148" s="45">
        <v>5</v>
      </c>
    </row>
    <row r="1149" spans="1:8" x14ac:dyDescent="0.2">
      <c r="A1149" s="43">
        <v>879000</v>
      </c>
      <c r="B1149" s="43">
        <v>202111</v>
      </c>
      <c r="C1149" s="44">
        <v>80000</v>
      </c>
      <c r="D1149" s="44">
        <v>4</v>
      </c>
      <c r="H1149" s="45">
        <v>5</v>
      </c>
    </row>
    <row r="1150" spans="1:8" x14ac:dyDescent="0.2">
      <c r="A1150" s="43">
        <v>879000</v>
      </c>
      <c r="B1150" s="43">
        <v>202112</v>
      </c>
      <c r="C1150" s="44">
        <v>80203</v>
      </c>
      <c r="D1150" s="44">
        <v>4</v>
      </c>
      <c r="F1150" s="67" cm="1">
        <f t="array" ref="F1150">SUM(D1139:D1150/12)</f>
        <v>4.166666666666667</v>
      </c>
      <c r="H1150" s="45">
        <v>5</v>
      </c>
    </row>
    <row r="1151" spans="1:8" x14ac:dyDescent="0.2">
      <c r="A1151" s="46" t="s">
        <v>820</v>
      </c>
      <c r="B1151" s="43"/>
      <c r="C1151" s="47">
        <f>SUM(C1139:C1150)</f>
        <v>983458.98</v>
      </c>
      <c r="H1151" s="45"/>
    </row>
    <row r="1152" spans="1:8" x14ac:dyDescent="0.2">
      <c r="A1152" s="43">
        <v>914000</v>
      </c>
      <c r="B1152" s="43">
        <v>202101</v>
      </c>
      <c r="C1152" s="44">
        <v>14372.36</v>
      </c>
      <c r="D1152" s="44">
        <v>1</v>
      </c>
      <c r="H1152" s="45">
        <v>1</v>
      </c>
    </row>
    <row r="1153" spans="1:8" x14ac:dyDescent="0.2">
      <c r="A1153" s="43">
        <v>914000</v>
      </c>
      <c r="B1153" s="43">
        <v>202102</v>
      </c>
      <c r="C1153" s="44">
        <v>16426.810000000001</v>
      </c>
      <c r="D1153" s="44">
        <v>1</v>
      </c>
      <c r="H1153" s="45">
        <v>1</v>
      </c>
    </row>
    <row r="1154" spans="1:8" x14ac:dyDescent="0.2">
      <c r="A1154" s="43">
        <v>914000</v>
      </c>
      <c r="B1154" s="43">
        <v>202103</v>
      </c>
      <c r="C1154" s="44">
        <v>15296.13</v>
      </c>
      <c r="D1154" s="44">
        <v>1</v>
      </c>
      <c r="H1154" s="45">
        <v>1</v>
      </c>
    </row>
    <row r="1155" spans="1:8" x14ac:dyDescent="0.2">
      <c r="A1155" s="43">
        <v>914000</v>
      </c>
      <c r="B1155" s="43">
        <v>202104</v>
      </c>
      <c r="C1155" s="44">
        <v>17297.939999999999</v>
      </c>
      <c r="D1155" s="44">
        <v>1</v>
      </c>
      <c r="H1155" s="45">
        <v>1</v>
      </c>
    </row>
    <row r="1156" spans="1:8" x14ac:dyDescent="0.2">
      <c r="A1156" s="43">
        <v>914000</v>
      </c>
      <c r="B1156" s="43">
        <v>202105</v>
      </c>
      <c r="C1156" s="44">
        <v>17082.189999999999</v>
      </c>
      <c r="D1156" s="44">
        <v>1</v>
      </c>
      <c r="H1156" s="45">
        <v>1</v>
      </c>
    </row>
    <row r="1157" spans="1:8" x14ac:dyDescent="0.2">
      <c r="A1157" s="43">
        <v>914000</v>
      </c>
      <c r="B1157" s="43">
        <v>202106</v>
      </c>
      <c r="C1157" s="44">
        <v>22721.759999999998</v>
      </c>
      <c r="D1157" s="44">
        <v>1</v>
      </c>
      <c r="H1157" s="45">
        <v>1</v>
      </c>
    </row>
    <row r="1158" spans="1:8" x14ac:dyDescent="0.2">
      <c r="A1158" s="43">
        <v>914000</v>
      </c>
      <c r="B1158" s="43">
        <v>202107</v>
      </c>
      <c r="C1158" s="44">
        <v>19370.349999999999</v>
      </c>
      <c r="D1158" s="44">
        <v>1</v>
      </c>
      <c r="H1158" s="45">
        <v>1</v>
      </c>
    </row>
    <row r="1159" spans="1:8" x14ac:dyDescent="0.2">
      <c r="A1159" s="43">
        <v>914000</v>
      </c>
      <c r="B1159" s="43">
        <v>202108</v>
      </c>
      <c r="C1159" s="44">
        <v>17100</v>
      </c>
      <c r="D1159" s="44">
        <v>1</v>
      </c>
      <c r="H1159" s="45">
        <v>1</v>
      </c>
    </row>
    <row r="1160" spans="1:8" x14ac:dyDescent="0.2">
      <c r="A1160" s="43">
        <v>914000</v>
      </c>
      <c r="B1160" s="43">
        <v>202109</v>
      </c>
      <c r="C1160" s="44">
        <f>17100+5100</f>
        <v>22200</v>
      </c>
      <c r="D1160" s="44">
        <v>1</v>
      </c>
      <c r="H1160" s="45">
        <v>1</v>
      </c>
    </row>
    <row r="1161" spans="1:8" x14ac:dyDescent="0.2">
      <c r="A1161" s="43">
        <v>914000</v>
      </c>
      <c r="B1161" s="43">
        <v>202110</v>
      </c>
      <c r="C1161" s="44">
        <v>17100</v>
      </c>
      <c r="D1161" s="44">
        <v>1</v>
      </c>
      <c r="H1161" s="45">
        <v>1</v>
      </c>
    </row>
    <row r="1162" spans="1:8" x14ac:dyDescent="0.2">
      <c r="A1162" s="43">
        <v>914000</v>
      </c>
      <c r="B1162" s="43">
        <v>202111</v>
      </c>
      <c r="C1162" s="44">
        <v>17100</v>
      </c>
      <c r="D1162" s="44">
        <v>1</v>
      </c>
      <c r="H1162" s="45">
        <v>1</v>
      </c>
    </row>
    <row r="1163" spans="1:8" x14ac:dyDescent="0.2">
      <c r="A1163" s="43">
        <v>914000</v>
      </c>
      <c r="B1163" s="43">
        <v>202112</v>
      </c>
      <c r="C1163" s="44">
        <v>17100</v>
      </c>
      <c r="D1163" s="44">
        <v>1</v>
      </c>
      <c r="F1163" s="67" cm="1">
        <f t="array" ref="F1163">SUM(D1152:D1163/12)</f>
        <v>1</v>
      </c>
      <c r="H1163" s="45">
        <v>1</v>
      </c>
    </row>
    <row r="1164" spans="1:8" x14ac:dyDescent="0.2">
      <c r="A1164" s="46" t="s">
        <v>821</v>
      </c>
      <c r="B1164" s="43"/>
      <c r="C1164" s="47">
        <f>SUM(C1152:C1163)</f>
        <v>213167.54</v>
      </c>
      <c r="H1164" s="45"/>
    </row>
    <row r="1165" spans="1:8" x14ac:dyDescent="0.2">
      <c r="A1165" s="43">
        <v>931000</v>
      </c>
      <c r="B1165" s="43">
        <v>202101</v>
      </c>
      <c r="C1165" s="44">
        <v>15855.3</v>
      </c>
      <c r="D1165" s="44">
        <v>1</v>
      </c>
      <c r="H1165" s="45">
        <v>1</v>
      </c>
    </row>
    <row r="1166" spans="1:8" x14ac:dyDescent="0.2">
      <c r="A1166" s="43">
        <v>931000</v>
      </c>
      <c r="B1166" s="43">
        <v>202102</v>
      </c>
      <c r="C1166" s="44">
        <v>26570.240000000002</v>
      </c>
      <c r="D1166" s="44">
        <v>1</v>
      </c>
      <c r="H1166" s="45">
        <v>1</v>
      </c>
    </row>
    <row r="1167" spans="1:8" x14ac:dyDescent="0.2">
      <c r="A1167" s="43">
        <v>931000</v>
      </c>
      <c r="B1167" s="43">
        <v>202103</v>
      </c>
      <c r="C1167" s="44">
        <v>15582.94</v>
      </c>
      <c r="D1167" s="44">
        <v>1</v>
      </c>
      <c r="H1167" s="45">
        <v>1</v>
      </c>
    </row>
    <row r="1168" spans="1:8" x14ac:dyDescent="0.2">
      <c r="A1168" s="43">
        <v>931000</v>
      </c>
      <c r="B1168" s="43">
        <v>202104</v>
      </c>
      <c r="C1168" s="44">
        <v>15547.1</v>
      </c>
      <c r="D1168" s="44">
        <v>1</v>
      </c>
      <c r="H1168" s="45">
        <v>1</v>
      </c>
    </row>
    <row r="1169" spans="1:8" x14ac:dyDescent="0.2">
      <c r="A1169" s="43">
        <v>931000</v>
      </c>
      <c r="B1169" s="43">
        <v>202105</v>
      </c>
      <c r="C1169" s="44">
        <v>16328.92</v>
      </c>
      <c r="D1169" s="44">
        <v>1</v>
      </c>
      <c r="H1169" s="45">
        <v>1</v>
      </c>
    </row>
    <row r="1170" spans="1:8" x14ac:dyDescent="0.2">
      <c r="A1170" s="43">
        <v>931000</v>
      </c>
      <c r="B1170" s="43">
        <v>202106</v>
      </c>
      <c r="C1170" s="44">
        <v>23244.06</v>
      </c>
      <c r="D1170" s="44">
        <v>1</v>
      </c>
      <c r="H1170" s="45">
        <v>1</v>
      </c>
    </row>
    <row r="1171" spans="1:8" x14ac:dyDescent="0.2">
      <c r="A1171" s="43">
        <v>931000</v>
      </c>
      <c r="B1171" s="43">
        <v>202107</v>
      </c>
      <c r="C1171" s="44">
        <v>18703.490000000002</v>
      </c>
      <c r="D1171" s="44">
        <v>1</v>
      </c>
      <c r="H1171" s="45">
        <v>1</v>
      </c>
    </row>
    <row r="1172" spans="1:8" x14ac:dyDescent="0.2">
      <c r="A1172" s="43">
        <v>931000</v>
      </c>
      <c r="B1172" s="43">
        <v>202108</v>
      </c>
      <c r="C1172" s="44">
        <v>16000</v>
      </c>
      <c r="D1172" s="44">
        <v>1</v>
      </c>
      <c r="H1172" s="45">
        <v>1</v>
      </c>
    </row>
    <row r="1173" spans="1:8" x14ac:dyDescent="0.2">
      <c r="A1173" s="43">
        <v>931000</v>
      </c>
      <c r="B1173" s="43">
        <v>202109</v>
      </c>
      <c r="C1173" s="44">
        <v>16000</v>
      </c>
      <c r="D1173" s="44">
        <v>1</v>
      </c>
      <c r="H1173" s="45">
        <v>1</v>
      </c>
    </row>
    <row r="1174" spans="1:8" x14ac:dyDescent="0.2">
      <c r="A1174" s="43">
        <v>931000</v>
      </c>
      <c r="B1174" s="43">
        <v>202110</v>
      </c>
      <c r="C1174" s="44">
        <v>16000</v>
      </c>
      <c r="D1174" s="44">
        <v>1</v>
      </c>
      <c r="H1174" s="45">
        <v>1</v>
      </c>
    </row>
    <row r="1175" spans="1:8" x14ac:dyDescent="0.2">
      <c r="A1175" s="43">
        <v>931000</v>
      </c>
      <c r="B1175" s="43">
        <v>202111</v>
      </c>
      <c r="C1175" s="44">
        <v>16000</v>
      </c>
      <c r="D1175" s="44">
        <v>1</v>
      </c>
      <c r="H1175" s="45">
        <v>1</v>
      </c>
    </row>
    <row r="1176" spans="1:8" x14ac:dyDescent="0.2">
      <c r="A1176" s="43">
        <v>931000</v>
      </c>
      <c r="B1176" s="43">
        <v>202112</v>
      </c>
      <c r="C1176" s="44">
        <v>16000</v>
      </c>
      <c r="D1176" s="44">
        <v>1</v>
      </c>
      <c r="F1176" s="67" cm="1">
        <f t="array" ref="F1176">SUM(D1165:D1176/12)</f>
        <v>1</v>
      </c>
      <c r="H1176" s="45">
        <v>1</v>
      </c>
    </row>
    <row r="1177" spans="1:8" x14ac:dyDescent="0.2">
      <c r="A1177" s="46" t="s">
        <v>822</v>
      </c>
      <c r="B1177" s="43"/>
      <c r="C1177" s="47">
        <f>SUM(C1165:C1176)</f>
        <v>211832.05</v>
      </c>
      <c r="H1177" s="45"/>
    </row>
    <row r="1178" spans="1:8" x14ac:dyDescent="0.2">
      <c r="A1178" s="43">
        <v>931100</v>
      </c>
      <c r="B1178" s="43">
        <v>202101</v>
      </c>
      <c r="C1178" s="44">
        <v>114422.65</v>
      </c>
      <c r="D1178" s="44">
        <v>8</v>
      </c>
      <c r="H1178" s="45">
        <v>8</v>
      </c>
    </row>
    <row r="1179" spans="1:8" x14ac:dyDescent="0.2">
      <c r="A1179" s="43">
        <v>931100</v>
      </c>
      <c r="B1179" s="43">
        <v>202102</v>
      </c>
      <c r="C1179" s="44">
        <v>116417.11</v>
      </c>
      <c r="D1179" s="44">
        <v>8</v>
      </c>
      <c r="H1179" s="45">
        <v>8</v>
      </c>
    </row>
    <row r="1180" spans="1:8" x14ac:dyDescent="0.2">
      <c r="A1180" s="43">
        <v>931100</v>
      </c>
      <c r="B1180" s="43">
        <v>202103</v>
      </c>
      <c r="C1180" s="44">
        <v>126627.02</v>
      </c>
      <c r="D1180" s="44">
        <v>8</v>
      </c>
      <c r="H1180" s="45">
        <v>8</v>
      </c>
    </row>
    <row r="1181" spans="1:8" x14ac:dyDescent="0.2">
      <c r="A1181" s="43">
        <v>931100</v>
      </c>
      <c r="B1181" s="43">
        <v>202104</v>
      </c>
      <c r="C1181" s="44">
        <v>121382.23</v>
      </c>
      <c r="D1181" s="44">
        <v>8</v>
      </c>
      <c r="H1181" s="45">
        <v>8</v>
      </c>
    </row>
    <row r="1182" spans="1:8" x14ac:dyDescent="0.2">
      <c r="A1182" s="43">
        <v>931100</v>
      </c>
      <c r="B1182" s="43">
        <v>202105</v>
      </c>
      <c r="C1182" s="44">
        <v>121697.83</v>
      </c>
      <c r="D1182" s="44">
        <v>8</v>
      </c>
      <c r="H1182" s="45">
        <v>8</v>
      </c>
    </row>
    <row r="1183" spans="1:8" x14ac:dyDescent="0.2">
      <c r="A1183" s="43">
        <v>931100</v>
      </c>
      <c r="B1183" s="43">
        <v>202106</v>
      </c>
      <c r="C1183" s="44">
        <v>170432.2</v>
      </c>
      <c r="D1183" s="44">
        <v>8</v>
      </c>
      <c r="H1183" s="45">
        <v>8</v>
      </c>
    </row>
    <row r="1184" spans="1:8" x14ac:dyDescent="0.2">
      <c r="A1184" s="43">
        <v>931100</v>
      </c>
      <c r="B1184" s="43">
        <v>202107</v>
      </c>
      <c r="C1184" s="44">
        <v>135952.66</v>
      </c>
      <c r="D1184" s="44">
        <v>8</v>
      </c>
      <c r="H1184" s="45">
        <v>8</v>
      </c>
    </row>
    <row r="1185" spans="1:8" x14ac:dyDescent="0.2">
      <c r="A1185" s="43">
        <v>931100</v>
      </c>
      <c r="B1185" s="43">
        <v>202108</v>
      </c>
      <c r="C1185" s="44">
        <v>122000</v>
      </c>
      <c r="D1185" s="44">
        <v>8</v>
      </c>
      <c r="H1185" s="45">
        <v>8</v>
      </c>
    </row>
    <row r="1186" spans="1:8" x14ac:dyDescent="0.2">
      <c r="A1186" s="43">
        <v>931100</v>
      </c>
      <c r="B1186" s="43">
        <v>202109</v>
      </c>
      <c r="C1186" s="44">
        <f>122000+16500</f>
        <v>138500</v>
      </c>
      <c r="D1186" s="44">
        <v>8</v>
      </c>
      <c r="H1186" s="45">
        <v>8</v>
      </c>
    </row>
    <row r="1187" spans="1:8" x14ac:dyDescent="0.2">
      <c r="A1187" s="43">
        <v>931100</v>
      </c>
      <c r="B1187" s="43">
        <v>202110</v>
      </c>
      <c r="C1187" s="44">
        <v>122000</v>
      </c>
      <c r="D1187" s="44">
        <v>8</v>
      </c>
      <c r="H1187" s="45">
        <v>8</v>
      </c>
    </row>
    <row r="1188" spans="1:8" x14ac:dyDescent="0.2">
      <c r="A1188" s="43">
        <v>931100</v>
      </c>
      <c r="B1188" s="43">
        <v>202111</v>
      </c>
      <c r="C1188" s="44">
        <v>122000</v>
      </c>
      <c r="D1188" s="44">
        <v>8</v>
      </c>
      <c r="H1188" s="45">
        <v>8</v>
      </c>
    </row>
    <row r="1189" spans="1:8" x14ac:dyDescent="0.2">
      <c r="A1189" s="43">
        <v>931100</v>
      </c>
      <c r="B1189" s="43">
        <v>202112</v>
      </c>
      <c r="C1189" s="44">
        <v>122000</v>
      </c>
      <c r="D1189" s="44">
        <v>8</v>
      </c>
      <c r="F1189" s="67" cm="1">
        <f t="array" ref="F1189">SUM(D1178:D1189/12)</f>
        <v>8</v>
      </c>
      <c r="H1189" s="45">
        <v>8</v>
      </c>
    </row>
    <row r="1190" spans="1:8" x14ac:dyDescent="0.2">
      <c r="A1190" s="46" t="s">
        <v>823</v>
      </c>
      <c r="B1190" s="43"/>
      <c r="C1190" s="47">
        <f>SUM(C1178:C1189)</f>
        <v>1533431.7000000002</v>
      </c>
      <c r="H1190" s="45"/>
    </row>
    <row r="1191" spans="1:8" x14ac:dyDescent="0.2">
      <c r="A1191" s="43">
        <v>938000</v>
      </c>
      <c r="B1191" s="43">
        <v>202101</v>
      </c>
      <c r="C1191" s="44">
        <v>129004.07</v>
      </c>
      <c r="D1191" s="44">
        <v>9.75</v>
      </c>
      <c r="H1191" s="45">
        <v>12</v>
      </c>
    </row>
    <row r="1192" spans="1:8" x14ac:dyDescent="0.2">
      <c r="A1192" s="43">
        <v>938000</v>
      </c>
      <c r="B1192" s="43">
        <v>202102</v>
      </c>
      <c r="C1192" s="44">
        <v>123987.66</v>
      </c>
      <c r="D1192" s="44">
        <v>9.75</v>
      </c>
      <c r="H1192" s="45">
        <v>13</v>
      </c>
    </row>
    <row r="1193" spans="1:8" x14ac:dyDescent="0.2">
      <c r="A1193" s="43">
        <v>938000</v>
      </c>
      <c r="B1193" s="43">
        <v>202103</v>
      </c>
      <c r="C1193" s="44">
        <v>124831.08</v>
      </c>
      <c r="D1193" s="44">
        <v>9.75</v>
      </c>
      <c r="H1193" s="45">
        <v>13</v>
      </c>
    </row>
    <row r="1194" spans="1:8" x14ac:dyDescent="0.2">
      <c r="A1194" s="43">
        <v>938000</v>
      </c>
      <c r="B1194" s="43">
        <v>202104</v>
      </c>
      <c r="C1194" s="44">
        <v>127406.95</v>
      </c>
      <c r="D1194" s="44">
        <v>9.75</v>
      </c>
      <c r="H1194" s="45">
        <v>13</v>
      </c>
    </row>
    <row r="1195" spans="1:8" x14ac:dyDescent="0.2">
      <c r="A1195" s="43">
        <v>938000</v>
      </c>
      <c r="B1195" s="43">
        <v>202105</v>
      </c>
      <c r="C1195" s="44">
        <v>129005.54</v>
      </c>
      <c r="D1195" s="44">
        <v>9.75</v>
      </c>
      <c r="H1195" s="45">
        <v>13</v>
      </c>
    </row>
    <row r="1196" spans="1:8" x14ac:dyDescent="0.2">
      <c r="A1196" s="43">
        <v>938000</v>
      </c>
      <c r="B1196" s="43">
        <v>202106</v>
      </c>
      <c r="C1196" s="44">
        <v>191764.03</v>
      </c>
      <c r="D1196" s="44">
        <v>9.75</v>
      </c>
      <c r="H1196" s="45">
        <v>13</v>
      </c>
    </row>
    <row r="1197" spans="1:8" x14ac:dyDescent="0.2">
      <c r="A1197" s="43">
        <v>938000</v>
      </c>
      <c r="B1197" s="43">
        <v>202107</v>
      </c>
      <c r="C1197" s="44">
        <v>143380.51</v>
      </c>
      <c r="D1197" s="44">
        <v>9.75</v>
      </c>
      <c r="H1197" s="45">
        <v>12</v>
      </c>
    </row>
    <row r="1198" spans="1:8" x14ac:dyDescent="0.2">
      <c r="A1198" s="43">
        <v>938000</v>
      </c>
      <c r="B1198" s="43">
        <v>202108</v>
      </c>
      <c r="C1198" s="44">
        <v>130000</v>
      </c>
      <c r="D1198" s="44">
        <v>9.75</v>
      </c>
      <c r="H1198" s="45">
        <v>12</v>
      </c>
    </row>
    <row r="1199" spans="1:8" x14ac:dyDescent="0.2">
      <c r="A1199" s="43">
        <v>938000</v>
      </c>
      <c r="B1199" s="43">
        <v>202109</v>
      </c>
      <c r="C1199" s="44">
        <f>130000+10000</f>
        <v>140000</v>
      </c>
      <c r="D1199" s="44">
        <v>9.75</v>
      </c>
      <c r="H1199" s="45">
        <v>12</v>
      </c>
    </row>
    <row r="1200" spans="1:8" x14ac:dyDescent="0.2">
      <c r="A1200" s="43">
        <v>938000</v>
      </c>
      <c r="B1200" s="43">
        <v>202110</v>
      </c>
      <c r="C1200" s="44">
        <v>130000</v>
      </c>
      <c r="D1200" s="44">
        <v>9.75</v>
      </c>
      <c r="H1200" s="45">
        <v>12</v>
      </c>
    </row>
    <row r="1201" spans="1:8" x14ac:dyDescent="0.2">
      <c r="A1201" s="43">
        <v>938000</v>
      </c>
      <c r="B1201" s="43">
        <v>202111</v>
      </c>
      <c r="C1201" s="44">
        <v>130000</v>
      </c>
      <c r="D1201" s="44">
        <v>9.75</v>
      </c>
      <c r="H1201" s="45">
        <v>12</v>
      </c>
    </row>
    <row r="1202" spans="1:8" x14ac:dyDescent="0.2">
      <c r="A1202" s="43">
        <v>938000</v>
      </c>
      <c r="B1202" s="43">
        <v>202112</v>
      </c>
      <c r="C1202" s="44">
        <v>130000</v>
      </c>
      <c r="D1202" s="44">
        <v>9.75</v>
      </c>
      <c r="F1202" s="67" cm="1">
        <f t="array" ref="F1202">SUM(D1191:D1202/12)</f>
        <v>9.75</v>
      </c>
      <c r="H1202" s="45">
        <v>12</v>
      </c>
    </row>
    <row r="1203" spans="1:8" x14ac:dyDescent="0.2">
      <c r="A1203" s="46" t="s">
        <v>824</v>
      </c>
      <c r="B1203" s="43"/>
      <c r="C1203" s="47">
        <f>SUM(C1191:C1202)</f>
        <v>1629379.84</v>
      </c>
      <c r="H1203" s="45"/>
    </row>
    <row r="1204" spans="1:8" x14ac:dyDescent="0.2">
      <c r="A1204" s="43">
        <v>943000</v>
      </c>
      <c r="B1204" s="43">
        <v>202101</v>
      </c>
      <c r="C1204" s="44">
        <v>61419.8</v>
      </c>
      <c r="D1204" s="44">
        <v>4.55</v>
      </c>
      <c r="H1204" s="45">
        <v>6</v>
      </c>
    </row>
    <row r="1205" spans="1:8" x14ac:dyDescent="0.2">
      <c r="A1205" s="43">
        <v>943000</v>
      </c>
      <c r="B1205" s="43">
        <v>202102</v>
      </c>
      <c r="C1205" s="44">
        <v>71370.67</v>
      </c>
      <c r="D1205" s="44">
        <v>4.55</v>
      </c>
      <c r="H1205" s="45">
        <v>6</v>
      </c>
    </row>
    <row r="1206" spans="1:8" x14ac:dyDescent="0.2">
      <c r="A1206" s="43">
        <v>943000</v>
      </c>
      <c r="B1206" s="43">
        <v>202103</v>
      </c>
      <c r="C1206" s="44">
        <v>60029.72</v>
      </c>
      <c r="D1206" s="44">
        <v>4.55</v>
      </c>
      <c r="H1206" s="45">
        <v>5</v>
      </c>
    </row>
    <row r="1207" spans="1:8" x14ac:dyDescent="0.2">
      <c r="A1207" s="43">
        <v>943000</v>
      </c>
      <c r="B1207" s="43">
        <v>202104</v>
      </c>
      <c r="C1207" s="44">
        <v>61810.28</v>
      </c>
      <c r="D1207" s="44">
        <v>5.2160000000000002</v>
      </c>
      <c r="H1207" s="45">
        <v>6</v>
      </c>
    </row>
    <row r="1208" spans="1:8" x14ac:dyDescent="0.2">
      <c r="A1208" s="43">
        <v>943000</v>
      </c>
      <c r="B1208" s="43">
        <v>202105</v>
      </c>
      <c r="C1208" s="44">
        <v>63870.09</v>
      </c>
      <c r="D1208" s="44">
        <v>4.55</v>
      </c>
      <c r="H1208" s="45">
        <v>5</v>
      </c>
    </row>
    <row r="1209" spans="1:8" x14ac:dyDescent="0.2">
      <c r="A1209" s="43">
        <v>943000</v>
      </c>
      <c r="B1209" s="43">
        <v>202106</v>
      </c>
      <c r="C1209" s="44">
        <v>89662.85</v>
      </c>
      <c r="D1209" s="44">
        <v>4.55</v>
      </c>
      <c r="H1209" s="45">
        <v>6</v>
      </c>
    </row>
    <row r="1210" spans="1:8" x14ac:dyDescent="0.2">
      <c r="A1210" s="43">
        <v>943000</v>
      </c>
      <c r="B1210" s="43">
        <v>202107</v>
      </c>
      <c r="C1210" s="44">
        <v>75338.14</v>
      </c>
      <c r="D1210" s="44">
        <v>4.6130000000000004</v>
      </c>
      <c r="H1210" s="45">
        <v>6</v>
      </c>
    </row>
    <row r="1211" spans="1:8" x14ac:dyDescent="0.2">
      <c r="A1211" s="43">
        <v>943000</v>
      </c>
      <c r="B1211" s="43">
        <v>202108</v>
      </c>
      <c r="C1211" s="44">
        <v>66000</v>
      </c>
      <c r="D1211" s="44">
        <v>4.6130000000000004</v>
      </c>
      <c r="H1211" s="45">
        <v>6</v>
      </c>
    </row>
    <row r="1212" spans="1:8" x14ac:dyDescent="0.2">
      <c r="A1212" s="43">
        <v>943000</v>
      </c>
      <c r="B1212" s="43">
        <v>202109</v>
      </c>
      <c r="C1212" s="44">
        <f>66000</f>
        <v>66000</v>
      </c>
      <c r="D1212" s="44">
        <v>4.6130000000000004</v>
      </c>
      <c r="H1212" s="45">
        <v>6</v>
      </c>
    </row>
    <row r="1213" spans="1:8" x14ac:dyDescent="0.2">
      <c r="A1213" s="43">
        <v>943000</v>
      </c>
      <c r="B1213" s="43">
        <v>202110</v>
      </c>
      <c r="C1213" s="44">
        <v>66000</v>
      </c>
      <c r="D1213" s="44">
        <v>4.6130000000000004</v>
      </c>
      <c r="H1213" s="45">
        <v>6</v>
      </c>
    </row>
    <row r="1214" spans="1:8" x14ac:dyDescent="0.2">
      <c r="A1214" s="43">
        <v>943000</v>
      </c>
      <c r="B1214" s="43">
        <v>202111</v>
      </c>
      <c r="C1214" s="44">
        <v>66000</v>
      </c>
      <c r="D1214" s="44">
        <v>4.6130000000000004</v>
      </c>
      <c r="H1214" s="45">
        <v>6</v>
      </c>
    </row>
    <row r="1215" spans="1:8" x14ac:dyDescent="0.2">
      <c r="A1215" s="43">
        <v>943000</v>
      </c>
      <c r="B1215" s="43">
        <v>202112</v>
      </c>
      <c r="C1215" s="44">
        <v>66000</v>
      </c>
      <c r="D1215" s="44">
        <v>4.6130000000000004</v>
      </c>
      <c r="F1215" s="67" cm="1">
        <f t="array" ref="F1215">SUM(D1204:D1215/12)</f>
        <v>4.6369999999999996</v>
      </c>
      <c r="H1215" s="45">
        <v>6</v>
      </c>
    </row>
    <row r="1216" spans="1:8" outlineLevel="1" x14ac:dyDescent="0.2">
      <c r="A1216" s="46" t="s">
        <v>825</v>
      </c>
      <c r="B1216" s="43"/>
      <c r="C1216" s="47">
        <f>SUM(C1204:C1215)</f>
        <v>813501.55</v>
      </c>
      <c r="H1216" s="45"/>
    </row>
    <row r="1217" spans="1:9" outlineLevel="2" x14ac:dyDescent="0.2">
      <c r="A1217" s="50">
        <v>981100</v>
      </c>
      <c r="B1217" s="50">
        <v>202101</v>
      </c>
      <c r="C1217" s="51">
        <v>2112.62</v>
      </c>
      <c r="D1217" s="51"/>
      <c r="E1217" s="53"/>
      <c r="G1217" s="53"/>
      <c r="H1217" s="52">
        <v>1</v>
      </c>
    </row>
    <row r="1218" spans="1:9" outlineLevel="2" x14ac:dyDescent="0.2">
      <c r="A1218" s="50">
        <v>981100</v>
      </c>
      <c r="B1218" s="50">
        <v>202102</v>
      </c>
      <c r="C1218" s="51">
        <v>5149.16</v>
      </c>
      <c r="D1218" s="51"/>
      <c r="E1218" s="53"/>
      <c r="G1218" s="53"/>
      <c r="H1218" s="52">
        <v>1</v>
      </c>
    </row>
    <row r="1219" spans="1:9" outlineLevel="2" x14ac:dyDescent="0.2">
      <c r="A1219" s="50">
        <v>981100</v>
      </c>
      <c r="B1219" s="50">
        <v>202103</v>
      </c>
      <c r="C1219" s="51">
        <v>3625.66</v>
      </c>
      <c r="D1219" s="51"/>
      <c r="E1219" s="53"/>
      <c r="G1219" s="53"/>
      <c r="H1219" s="52">
        <v>1</v>
      </c>
    </row>
    <row r="1220" spans="1:9" outlineLevel="2" x14ac:dyDescent="0.2">
      <c r="A1220" s="50">
        <v>981100</v>
      </c>
      <c r="B1220" s="50">
        <v>202104</v>
      </c>
      <c r="C1220" s="51">
        <v>12505.36</v>
      </c>
      <c r="D1220" s="51"/>
      <c r="E1220" s="53"/>
      <c r="G1220" s="53"/>
      <c r="H1220" s="52">
        <v>2</v>
      </c>
    </row>
    <row r="1221" spans="1:9" outlineLevel="2" x14ac:dyDescent="0.2">
      <c r="A1221" s="50">
        <v>981100</v>
      </c>
      <c r="B1221" s="50">
        <v>202105</v>
      </c>
      <c r="C1221" s="51">
        <v>12296.26</v>
      </c>
      <c r="D1221" s="51"/>
      <c r="E1221" s="53"/>
      <c r="G1221" s="53"/>
      <c r="H1221" s="52">
        <v>2</v>
      </c>
    </row>
    <row r="1222" spans="1:9" outlineLevel="2" x14ac:dyDescent="0.2">
      <c r="A1222" s="50">
        <v>981100</v>
      </c>
      <c r="B1222" s="50">
        <v>202106</v>
      </c>
      <c r="C1222" s="51">
        <v>13244.51</v>
      </c>
      <c r="D1222" s="51"/>
      <c r="E1222" s="53"/>
      <c r="G1222" s="53"/>
      <c r="H1222" s="52">
        <v>2</v>
      </c>
    </row>
    <row r="1223" spans="1:9" outlineLevel="2" x14ac:dyDescent="0.2">
      <c r="A1223" s="50">
        <v>981100</v>
      </c>
      <c r="B1223" s="50">
        <v>202107</v>
      </c>
      <c r="C1223" s="51">
        <v>4645.2</v>
      </c>
      <c r="D1223" s="51"/>
      <c r="E1223" s="53"/>
      <c r="G1223" s="53"/>
      <c r="H1223" s="52">
        <v>1</v>
      </c>
    </row>
    <row r="1224" spans="1:9" outlineLevel="2" x14ac:dyDescent="0.2">
      <c r="A1224" s="50">
        <v>981100</v>
      </c>
      <c r="B1224" s="50">
        <v>202108</v>
      </c>
      <c r="C1224" s="51">
        <v>0</v>
      </c>
      <c r="D1224" s="51"/>
      <c r="E1224" s="53"/>
      <c r="G1224" s="53"/>
      <c r="H1224" s="52">
        <v>0</v>
      </c>
    </row>
    <row r="1225" spans="1:9" outlineLevel="2" x14ac:dyDescent="0.2">
      <c r="A1225" s="50">
        <v>981100</v>
      </c>
      <c r="B1225" s="50">
        <v>202109</v>
      </c>
      <c r="C1225" s="51">
        <v>0</v>
      </c>
      <c r="D1225" s="51"/>
      <c r="E1225" s="53"/>
      <c r="G1225" s="53"/>
      <c r="H1225" s="52">
        <v>0</v>
      </c>
    </row>
    <row r="1226" spans="1:9" outlineLevel="2" x14ac:dyDescent="0.2">
      <c r="A1226" s="50">
        <v>981100</v>
      </c>
      <c r="B1226" s="50">
        <v>202110</v>
      </c>
      <c r="C1226" s="51">
        <v>0</v>
      </c>
      <c r="D1226" s="51"/>
      <c r="E1226" s="54" t="s">
        <v>826</v>
      </c>
      <c r="F1226" s="68"/>
      <c r="G1226" s="55"/>
      <c r="H1226" s="52">
        <v>0</v>
      </c>
      <c r="I1226" s="56"/>
    </row>
    <row r="1227" spans="1:9" outlineLevel="2" x14ac:dyDescent="0.2">
      <c r="A1227" s="50">
        <v>981100</v>
      </c>
      <c r="B1227" s="50">
        <v>202111</v>
      </c>
      <c r="C1227" s="51">
        <v>0</v>
      </c>
      <c r="D1227" s="51"/>
      <c r="E1227" s="55" t="s">
        <v>827</v>
      </c>
      <c r="F1227" s="68"/>
      <c r="G1227" s="55"/>
      <c r="H1227" s="52">
        <v>0</v>
      </c>
      <c r="I1227" s="56"/>
    </row>
    <row r="1228" spans="1:9" outlineLevel="2" x14ac:dyDescent="0.2">
      <c r="A1228" s="50">
        <v>981100</v>
      </c>
      <c r="B1228" s="50">
        <v>202112</v>
      </c>
      <c r="C1228" s="51">
        <v>0</v>
      </c>
      <c r="D1228" s="51"/>
      <c r="E1228" s="53"/>
      <c r="G1228" s="53"/>
      <c r="H1228" s="52">
        <v>0</v>
      </c>
    </row>
    <row r="1229" spans="1:9" outlineLevel="1" x14ac:dyDescent="0.2">
      <c r="A1229" s="57" t="s">
        <v>828</v>
      </c>
      <c r="B1229" s="50"/>
      <c r="C1229" s="58">
        <f>SUBTOTAL(9,C1217:C1225)</f>
        <v>53578.77</v>
      </c>
      <c r="D1229" s="51"/>
      <c r="E1229" s="53"/>
      <c r="G1229" s="53"/>
      <c r="H1229" s="52"/>
    </row>
    <row r="1230" spans="1:9" outlineLevel="2" x14ac:dyDescent="0.2">
      <c r="A1230" s="43">
        <v>999000</v>
      </c>
      <c r="B1230" s="43">
        <v>202101</v>
      </c>
      <c r="C1230" s="44">
        <v>2018831.32</v>
      </c>
      <c r="D1230" s="44">
        <v>188.072</v>
      </c>
      <c r="H1230" s="45">
        <v>411</v>
      </c>
    </row>
    <row r="1231" spans="1:9" outlineLevel="2" x14ac:dyDescent="0.2">
      <c r="A1231" s="43">
        <v>999000</v>
      </c>
      <c r="B1231" s="43">
        <v>202102</v>
      </c>
      <c r="C1231" s="44">
        <v>2017880.35</v>
      </c>
      <c r="D1231" s="44">
        <v>188.072</v>
      </c>
      <c r="H1231" s="45">
        <v>411</v>
      </c>
    </row>
    <row r="1232" spans="1:9" x14ac:dyDescent="0.2">
      <c r="A1232" s="43">
        <v>999000</v>
      </c>
      <c r="B1232" s="43">
        <v>202103</v>
      </c>
      <c r="C1232" s="44">
        <v>2091767.78</v>
      </c>
      <c r="D1232" s="44">
        <v>188.59</v>
      </c>
      <c r="H1232" s="45">
        <v>412</v>
      </c>
    </row>
    <row r="1233" spans="1:8" x14ac:dyDescent="0.2">
      <c r="A1233" s="43">
        <v>999000</v>
      </c>
      <c r="B1233" s="43">
        <v>202104</v>
      </c>
      <c r="C1233" s="44">
        <v>2011457.13</v>
      </c>
      <c r="D1233" s="44">
        <v>187.143</v>
      </c>
      <c r="H1233" s="45">
        <v>409</v>
      </c>
    </row>
    <row r="1234" spans="1:8" x14ac:dyDescent="0.2">
      <c r="A1234" s="43">
        <v>999000</v>
      </c>
      <c r="B1234" s="43">
        <v>202105</v>
      </c>
      <c r="C1234" s="44">
        <v>2117296.8199999998</v>
      </c>
      <c r="D1234" s="44">
        <v>187.565</v>
      </c>
      <c r="H1234" s="45">
        <v>410</v>
      </c>
    </row>
    <row r="1235" spans="1:8" x14ac:dyDescent="0.2">
      <c r="A1235" s="43">
        <v>999000</v>
      </c>
      <c r="B1235" s="43">
        <v>202106</v>
      </c>
      <c r="C1235" s="44">
        <v>3128516.33</v>
      </c>
      <c r="D1235" s="44">
        <v>187.59200000000001</v>
      </c>
      <c r="H1235" s="45">
        <v>409</v>
      </c>
    </row>
    <row r="1236" spans="1:8" x14ac:dyDescent="0.2">
      <c r="A1236" s="43">
        <v>999000</v>
      </c>
      <c r="B1236" s="43">
        <v>202107</v>
      </c>
      <c r="C1236" s="44">
        <v>2608120.38</v>
      </c>
      <c r="D1236" s="44">
        <v>188.73699999999999</v>
      </c>
      <c r="H1236" s="45">
        <v>411</v>
      </c>
    </row>
    <row r="1237" spans="1:8" x14ac:dyDescent="0.2">
      <c r="A1237" s="43">
        <v>999000</v>
      </c>
      <c r="B1237" s="43">
        <v>202108</v>
      </c>
      <c r="C1237" s="44">
        <v>2050000</v>
      </c>
      <c r="D1237" s="44">
        <v>189</v>
      </c>
      <c r="H1237" s="45">
        <v>413</v>
      </c>
    </row>
    <row r="1238" spans="1:8" x14ac:dyDescent="0.2">
      <c r="A1238" s="43">
        <v>999000</v>
      </c>
      <c r="B1238" s="43">
        <v>202109</v>
      </c>
      <c r="C1238" s="44">
        <f>2050000+669000</f>
        <v>2719000</v>
      </c>
      <c r="D1238" s="44">
        <v>190</v>
      </c>
      <c r="H1238" s="45">
        <v>414</v>
      </c>
    </row>
    <row r="1239" spans="1:8" x14ac:dyDescent="0.2">
      <c r="A1239" s="43">
        <v>999000</v>
      </c>
      <c r="B1239" s="43">
        <v>202110</v>
      </c>
      <c r="C1239" s="44">
        <v>2055000</v>
      </c>
      <c r="D1239" s="44">
        <v>191</v>
      </c>
      <c r="H1239" s="45">
        <v>415</v>
      </c>
    </row>
    <row r="1240" spans="1:8" x14ac:dyDescent="0.2">
      <c r="A1240" s="43">
        <v>999000</v>
      </c>
      <c r="B1240" s="43">
        <v>202111</v>
      </c>
      <c r="C1240" s="44">
        <v>2055000</v>
      </c>
      <c r="D1240" s="44">
        <v>192</v>
      </c>
      <c r="H1240" s="45">
        <v>415</v>
      </c>
    </row>
    <row r="1241" spans="1:8" x14ac:dyDescent="0.2">
      <c r="A1241" s="43">
        <v>999000</v>
      </c>
      <c r="B1241" s="43">
        <v>202112</v>
      </c>
      <c r="C1241" s="44">
        <v>2055000</v>
      </c>
      <c r="D1241" s="44">
        <v>192</v>
      </c>
      <c r="F1241" s="67" cm="1">
        <f t="array" ref="F1241">SUM(D1230:D1241/12)</f>
        <v>189.14758333333333</v>
      </c>
      <c r="H1241" s="45">
        <v>415</v>
      </c>
    </row>
    <row r="1242" spans="1:8" x14ac:dyDescent="0.2">
      <c r="A1242" s="46" t="s">
        <v>829</v>
      </c>
      <c r="B1242" s="43"/>
      <c r="C1242" s="47">
        <f>SUM(C1230:C1241)</f>
        <v>26927870.109999999</v>
      </c>
      <c r="H1242" s="45"/>
    </row>
    <row r="1243" spans="1:8" x14ac:dyDescent="0.2">
      <c r="A1243" s="46"/>
      <c r="B1243" s="43"/>
      <c r="C1243" s="47"/>
      <c r="H1243" s="45"/>
    </row>
    <row r="1244" spans="1:8" x14ac:dyDescent="0.2">
      <c r="A1244" s="46" t="s">
        <v>693</v>
      </c>
      <c r="B1244" s="43"/>
      <c r="C1244" s="47">
        <f>C14+C27+C40+C53+C66+C79+C92+C105+C119+C133+C146+C159+C172+C185+C198+C211+C224+C237+C250+C263+C276+C289+C302+C315+C328+C341+C354+C367+C380+C393+C406+C419+C432+C445+C457+C470+C483+C496+C509+C522+C535+C548+C561+C574+C578+C591+C604+C617+C631+C644+C657+C670+C683+C696+C709+C722+C735+C748+C761+C774+C787+C800+C813+C826+C839+C852+C865+C878+C891+C904+C917+C930+C943+C956+C969+C982+C995+C1008+C1021+C1034+C1047+C1060+C1073+C1086+C1099+C1112+C1125+C1138+C1151+C1164+C1177+C1190+C1203+C1216+C1242</f>
        <v>169015336.44</v>
      </c>
      <c r="D1244" s="47">
        <f>SUM(D2:D1243)/12</f>
        <v>988.05275000000154</v>
      </c>
      <c r="E1244" s="47">
        <f>E14+E27+E40+E53+E66+E79+E92+E105+E119+E133+E146+E159+E172+E185+E198+E211+E224+E237+E250+E263+E276+E289+E302+E315+E328+E341+E354+E367+E380+E393+E406+E419+E432+E445+E457+E470+E483+E496+E509+E522+E535+E548+E561+E574+E578+E591+E604+E617+E631+E644+E657+E670+E683+E696+E709+E722+E735+E748+E761+E774+E787+E800+E813+E826+E839+E852+E865+E878+E891+E904+E917+E930+E943+E956+E969+E982+E995+E1008+E1021+E1034+E1047+E1060+E1073+E1086+E1099+E1112+E1125+E1138+E1151+E1164+E1177+E1190+E1203+E1216+E1242</f>
        <v>0</v>
      </c>
      <c r="F1244" s="47">
        <f>SUM(F2:F1243)</f>
        <v>987.22941666666657</v>
      </c>
      <c r="G1244" s="47">
        <f>G14+G27+G40+G53+G66+G79+G92+G105+G119+G133+G146+G159+G172+G185+G198+G211+G224+G237+G250+G263+G276+G289+G302+G315+G328+G341+G354+G367+G380+G393+G406+G419+G432+G445+G457+G470+G483+G496+G509+G522+G535+G548+G561+G574+G578+G591+G604+G617+G631+G644+G657+G670+G683+G696+G709+G722+G735+G748+G761+G774+G787+G800+G813+G826+G839+G852+G865+G878+G891+G904+G917+G930+G943+G956+G969+G982+G995+G1008+G1021+G1034+G1047+G1060+G1073+G1086+G1099+G1112+G1125+G1138+G1151+G1164+G1177+G1190+G1203+G1216+G1242</f>
        <v>0</v>
      </c>
      <c r="H1244" s="47">
        <f>H14+H27+H40+H53+H66+H79+H92+H105+H119+H133+H146+H159+H172+H185+H198+H211+H224+H237+H250+H263+H276+H289+H302+H315+H328+H341+H354+H367+H380+H393+H406+H419+H432+H445+H457+H470+H483+H496+H509+H522+H535+H548+H561+H574+H578+H591+H604+H617+H631+H644+H657+H670+H683+H696+H709+H722+H735+H748+H761+H774+H787+H800+H813+H826+H839+H852+H865+H878+H891+H904+H917+H930+H943+H956+H969+H982+H995+H1008+H1021+H1034+H1047+H1060+H1073+H1086+H1099+H1112+H1125+H1138+H1151+H1164+H1177+H1190+H1203+H1216+H1242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26</vt:i4>
      </vt:variant>
      <vt:variant>
        <vt:lpstr>טווחים בעלי שם</vt:lpstr>
      </vt:variant>
      <vt:variant>
        <vt:i4>26</vt:i4>
      </vt:variant>
    </vt:vector>
  </HeadingPairs>
  <TitlesOfParts>
    <vt:vector size="52" baseType="lpstr">
      <vt:lpstr>תוכן עניינים</vt:lpstr>
      <vt:lpstr>ביטול תקציב</vt:lpstr>
      <vt:lpstr>הכנסות 1</vt:lpstr>
      <vt:lpstr>גיליון1</vt:lpstr>
      <vt:lpstr>הוצאות 2</vt:lpstr>
      <vt:lpstr>הכנסות חינוך 3</vt:lpstr>
      <vt:lpstr>הכנסות תרבות 4</vt:lpstr>
      <vt:lpstr>הכנסות רווחה 5</vt:lpstr>
      <vt:lpstr>הוצאות שכר 6</vt:lpstr>
      <vt:lpstr>שכד ביטוחים עיתונים ומשלחות 7  </vt:lpstr>
      <vt:lpstr> הוצאות רווחה  8</vt:lpstr>
      <vt:lpstr>קליקה 9</vt:lpstr>
      <vt:lpstr>ציוד משרדי וכיבוד 10</vt:lpstr>
      <vt:lpstr>חשמל ומים 11</vt:lpstr>
      <vt:lpstr>דלק ורכבים 12</vt:lpstr>
      <vt:lpstr>תיקונים ורישוי 13</vt:lpstr>
      <vt:lpstr>ליסינג 14</vt:lpstr>
      <vt:lpstr>תקשורת פרסום ומחשוב 15</vt:lpstr>
      <vt:lpstr>ריבית ועמלות ופרעון 16</vt:lpstr>
      <vt:lpstr>עבודות קבלניות 17</vt:lpstr>
      <vt:lpstr> 18 הג"א</vt:lpstr>
      <vt:lpstr>19-780</vt:lpstr>
      <vt:lpstr>20-782</vt:lpstr>
      <vt:lpstr>תמיכות 21</vt:lpstr>
      <vt:lpstr>ביצוע 2020</vt:lpstr>
      <vt:lpstr>שכר 2021</vt:lpstr>
      <vt:lpstr>' הוצאות רווחה  8'!WPrint_Area_W</vt:lpstr>
      <vt:lpstr>'19-780'!WPrint_Area_W</vt:lpstr>
      <vt:lpstr>'20-782'!WPrint_Area_W</vt:lpstr>
      <vt:lpstr>'הוצאות 2'!WPrint_Area_W</vt:lpstr>
      <vt:lpstr>'הכנסות 1'!WPrint_Area_W</vt:lpstr>
      <vt:lpstr>'הכנסות חינוך 3'!WPrint_Area_W</vt:lpstr>
      <vt:lpstr>'הכנסות רווחה 5'!WPrint_Area_W</vt:lpstr>
      <vt:lpstr>'הכנסות תרבות 4'!WPrint_Area_W</vt:lpstr>
      <vt:lpstr>'חשמל ומים 11'!WPrint_Area_W</vt:lpstr>
      <vt:lpstr>'ליסינג 14'!WPrint_Area_W</vt:lpstr>
      <vt:lpstr>'עבודות קבלניות 17'!WPrint_Area_W</vt:lpstr>
      <vt:lpstr>'ציוד משרדי וכיבוד 10'!WPrint_Area_W</vt:lpstr>
      <vt:lpstr>'קליקה 9'!WPrint_Area_W</vt:lpstr>
      <vt:lpstr>'ריבית ועמלות ופרעון 16'!WPrint_Area_W</vt:lpstr>
      <vt:lpstr>'שכד ביטוחים עיתונים ומשלחות 7  '!WPrint_Area_W</vt:lpstr>
      <vt:lpstr>'תוכן עניינים'!WPrint_Area_W</vt:lpstr>
      <vt:lpstr>'תיקונים ורישוי 13'!WPrint_Area_W</vt:lpstr>
      <vt:lpstr>'תמיכות 21'!WPrint_Area_W</vt:lpstr>
      <vt:lpstr>'תקשורת פרסום ומחשוב 15'!WPrint_Area_W</vt:lpstr>
      <vt:lpstr>' הוצאות רווחה  8'!WPrint_TitlesW</vt:lpstr>
      <vt:lpstr>'19-780'!WPrint_TitlesW</vt:lpstr>
      <vt:lpstr>'20-782'!WPrint_TitlesW</vt:lpstr>
      <vt:lpstr>'הוצאות 2'!WPrint_TitlesW</vt:lpstr>
      <vt:lpstr>'הוצאות שכר 6'!WPrint_TitlesW</vt:lpstr>
      <vt:lpstr>'הכנסות 1'!WPrint_TitlesW</vt:lpstr>
      <vt:lpstr>'הכנסות רווחה 5'!WPrint_TitlesW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חווה יקוטי</dc:creator>
  <cp:lastModifiedBy>Miriam Nachum</cp:lastModifiedBy>
  <cp:lastPrinted>2023-03-06T09:57:52Z</cp:lastPrinted>
  <dcterms:created xsi:type="dcterms:W3CDTF">2020-09-16T04:47:37Z</dcterms:created>
  <dcterms:modified xsi:type="dcterms:W3CDTF">2023-05-29T08:34:01Z</dcterms:modified>
</cp:coreProperties>
</file>